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55" yWindow="65521" windowWidth="12600" windowHeight="13185" tabRatio="585" activeTab="2"/>
  </bookViews>
  <sheets>
    <sheet name="Исп инв прогр 7.1 " sheetId="1" r:id="rId1"/>
    <sheet name="Осн эт раб  7.2" sheetId="2" r:id="rId2"/>
    <sheet name="Тех сост 13 ФЙАКТ" sheetId="3" r:id="rId3"/>
    <sheet name="Тех сост 13 " sheetId="4" r:id="rId4"/>
    <sheet name="ВВод вывод 9 " sheetId="5" r:id="rId5"/>
    <sheet name="11.1 Сет граф" sheetId="6" r:id="rId6"/>
    <sheet name="Лист1" sheetId="7" r:id="rId7"/>
  </sheets>
  <definedNames>
    <definedName name="_xlnm.Print_Area" localSheetId="5">'11.1 Сет граф'!$A$1:$J$130</definedName>
    <definedName name="_xlnm.Print_Area" localSheetId="4">'ВВод вывод 9 '!$A$1:$DA$62</definedName>
    <definedName name="_xlnm.Print_Area" localSheetId="0">'Исп инв прогр 7.1 '!$A$1:$Y$63</definedName>
    <definedName name="_xlnm.Print_Area" localSheetId="3">'Тех сост 13 '!$A$1:$L$60</definedName>
    <definedName name="_xlnm.Print_Area" localSheetId="2">'Тех сост 13 ФЙАКТ'!$A$1:$Q$43</definedName>
  </definedNames>
  <calcPr fullCalcOnLoad="1"/>
</workbook>
</file>

<file path=xl/sharedStrings.xml><?xml version="1.0" encoding="utf-8"?>
<sst xmlns="http://schemas.openxmlformats.org/spreadsheetml/2006/main" count="1133" uniqueCount="249">
  <si>
    <t>Остаток стоимости
на начало
года *</t>
  </si>
  <si>
    <t>Объем финансирования [отчетный год]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</si>
  <si>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</si>
  <si>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</si>
  <si>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</si>
  <si>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</si>
  <si>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всего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</si>
  <si>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</si>
  <si>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</si>
  <si>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</si>
  <si>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</si>
  <si>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</si>
  <si>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</si>
  <si>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</si>
  <si>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</si>
  <si>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</si>
  <si>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</si>
  <si>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</si>
  <si>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</si>
  <si>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</si>
  <si>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</si>
  <si>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</si>
  <si>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</si>
  <si>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2</t>
  </si>
  <si>
    <t>Новое строительство</t>
  </si>
  <si>
    <t>*</t>
  </si>
  <si>
    <t>Приложение № 7.2
к Приказу Минэнерго России
от 24.03.2010 № 114</t>
  </si>
  <si>
    <t>Плановой объем финансирования,
млн. руб. *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</si>
  <si>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</si>
  <si>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</si>
  <si>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</si>
  <si>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</si>
  <si>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</si>
  <si>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</si>
  <si>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</si>
  <si>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</si>
  <si>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</si>
  <si>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</si>
  <si>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</si>
  <si>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</si>
  <si>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мощ-
ность, МВА</t>
  </si>
  <si>
    <t>тип опор</t>
  </si>
  <si>
    <t>протя-
жен-
ность, км</t>
  </si>
  <si>
    <t>Техническое перевооружение
и реконструкция</t>
  </si>
  <si>
    <t>(представляется ежеквартально)</t>
  </si>
  <si>
    <t>план *</t>
  </si>
  <si>
    <t>Приложение № 9
к Приказу Минэнерго России
от 24.03.2010 № 114</t>
  </si>
  <si>
    <t>№ п/п</t>
  </si>
  <si>
    <t>Ввод мощностей</t>
  </si>
  <si>
    <t>Вывод мощностей</t>
  </si>
  <si>
    <t>Приложение № 11.1
к Приказу Минэнерго России
от 24.03.2010 № 114</t>
  </si>
  <si>
    <t>Процент выполнения за отчетный период (%)</t>
  </si>
  <si>
    <t>Предложения по корректирующим мероприятиям по устранению отставания</t>
  </si>
  <si>
    <t>ВСЕГО</t>
  </si>
  <si>
    <t>Технические характеристики</t>
  </si>
  <si>
    <t>Сроки реализации проекта</t>
  </si>
  <si>
    <t>АВБбШв 3х185</t>
  </si>
  <si>
    <t>УТВЕРЖДАЮ</t>
  </si>
  <si>
    <t>Приложение № 7.1.                                                     к Приказу Минэнерго России                                              от 24.03.2010 № 114</t>
  </si>
  <si>
    <t xml:space="preserve"> млн. рублей с НДС (представляется ежеквартально)</t>
  </si>
  <si>
    <t xml:space="preserve">Отчет об исполнении основных этапов работ по реализации инвестиционной программы </t>
  </si>
  <si>
    <t>-</t>
  </si>
  <si>
    <t>Приложение № 13
к Приказу Минэнерго России
от 24.03.2010 № 114</t>
  </si>
  <si>
    <t>выработка,                           млн.кВт/ч</t>
  </si>
  <si>
    <t>Наличие исходно- разрешительной документации</t>
  </si>
  <si>
    <t>оформленный в соответствии с законодательством землеотвод (+;-)</t>
  </si>
  <si>
    <t>разрешение на строительство (+; -)</t>
  </si>
  <si>
    <t>+</t>
  </si>
  <si>
    <t>Длина ВЛ, КЛ,                       км</t>
  </si>
  <si>
    <t>Отчёт о техническом состоянии объекта</t>
  </si>
  <si>
    <t>Мощность,                                МВт</t>
  </si>
  <si>
    <t>№ №                 п/п</t>
  </si>
  <si>
    <t>заключение главгосэкспертизы                        России  (+;-)</t>
  </si>
  <si>
    <t>утверждённая проектно-смаетная документация  (+;-)</t>
  </si>
  <si>
    <t>год  начала                                              строительства</t>
  </si>
  <si>
    <t>год  ввода                                                                         в эксплуатацию</t>
  </si>
  <si>
    <t>Наименование проекта                                          инвестиционной программы</t>
  </si>
  <si>
    <t>Фактически профинансировано,                    млн. руб.</t>
  </si>
  <si>
    <t>Технические характеристики  объектов</t>
  </si>
  <si>
    <t>кол-
во
тр-
ров, шт.</t>
  </si>
  <si>
    <t>МВт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</si>
  <si>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</si>
  <si>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Сроки выполнения задач по укрупненному сетевому графику</t>
  </si>
  <si>
    <t>Процент исполнения  работ за весь период (%)</t>
  </si>
  <si>
    <t>Основные причины невыполнения</t>
  </si>
  <si>
    <t>План</t>
  </si>
  <si>
    <t>Факт</t>
  </si>
  <si>
    <t>начало (дата)</t>
  </si>
  <si>
    <t>окончание (дата)</t>
  </si>
  <si>
    <t>Предпроектный и проектный этап</t>
  </si>
  <si>
    <t>Организационный этап</t>
  </si>
  <si>
    <t>Сетевое строительство (реконструкция) и пусконаладочные работы</t>
  </si>
  <si>
    <t>Испытания и ввод в эксплуатацию</t>
  </si>
  <si>
    <t>не треб.</t>
  </si>
  <si>
    <t>МУ ППЭС</t>
  </si>
  <si>
    <t>(наименование организации)</t>
  </si>
  <si>
    <t>Наименование                                             объекта</t>
  </si>
  <si>
    <t>№ №                                                           п/п</t>
  </si>
  <si>
    <t>Причины                           отклонений</t>
  </si>
  <si>
    <t>Наименование                                      объекта *</t>
  </si>
  <si>
    <t>Наименование                                 проекта</t>
  </si>
  <si>
    <t>Утверждаю</t>
  </si>
  <si>
    <t>№№                                       п/п</t>
  </si>
  <si>
    <t>Директор  МУ ППЭС</t>
  </si>
  <si>
    <t>Утверждаю
Директор   МУ ППЭС</t>
  </si>
  <si>
    <t>Утверждаю
Директор    МУ ППЭС</t>
  </si>
  <si>
    <t>Утверждаю
Директор  МУ ППЭС</t>
  </si>
  <si>
    <t>Директор   МУ ППЭС</t>
  </si>
  <si>
    <t>КТПН и ТП</t>
  </si>
  <si>
    <t>3</t>
  </si>
  <si>
    <t>ВЛ - 6 кВ</t>
  </si>
  <si>
    <t>3.1</t>
  </si>
  <si>
    <t>3.2</t>
  </si>
  <si>
    <t>4</t>
  </si>
  <si>
    <t>КЛ - 6 кВ</t>
  </si>
  <si>
    <t>5</t>
  </si>
  <si>
    <t>ВЛ - 0,4 кВ (ВЛИ)</t>
  </si>
  <si>
    <t>6</t>
  </si>
  <si>
    <t>КЛ - 0,4 кВ</t>
  </si>
  <si>
    <t>за отчетный квартал</t>
  </si>
  <si>
    <t>СВ 110-5</t>
  </si>
  <si>
    <t>ААБлу-3х185</t>
  </si>
  <si>
    <t>марка  кабеля</t>
  </si>
  <si>
    <t>ВЛ -  6 кВ</t>
  </si>
  <si>
    <t>ВЛИ - 0,4 кВ</t>
  </si>
  <si>
    <t>Проектные работы</t>
  </si>
  <si>
    <t>____________А.Ю. Максимов</t>
  </si>
  <si>
    <t xml:space="preserve">______________ А.Ю. Максимов </t>
  </si>
  <si>
    <t>_____________А.Ю. Максимов</t>
  </si>
  <si>
    <t>А.Ю. Максимов</t>
  </si>
  <si>
    <t>год ввода в эксплуатацию</t>
  </si>
  <si>
    <t>_______________Максимов А.Ю.</t>
  </si>
  <si>
    <t>Приложение № 9</t>
  </si>
  <si>
    <t>Приложение № 7.1</t>
  </si>
  <si>
    <t>Приложение  № 7.2</t>
  </si>
  <si>
    <t>Приложение № 11.1</t>
  </si>
  <si>
    <t>Отклонение фактической стоимости работ по плановой стоимости,                                                                              млн. руб.</t>
  </si>
  <si>
    <t>Фактически освоено (закрыто актами выполненных работ),                                                                     млн. руб.</t>
  </si>
  <si>
    <t>Приложение № 13</t>
  </si>
  <si>
    <t>№ №                  п/п</t>
  </si>
  <si>
    <t>№ №                                                           п/п                                                  из инв. про             грам              мы</t>
  </si>
  <si>
    <t>3.3</t>
  </si>
  <si>
    <t>15</t>
  </si>
  <si>
    <t>24</t>
  </si>
  <si>
    <t xml:space="preserve">Монтаж КТПН 2х100 кВА </t>
  </si>
  <si>
    <t>25</t>
  </si>
  <si>
    <t>35</t>
  </si>
  <si>
    <t>37</t>
  </si>
  <si>
    <t xml:space="preserve">Монтаж КТПН «Модуль» 2х1000 кВА </t>
  </si>
  <si>
    <t>Монтаж  КТПН 2х250 кВА   № 7,  проходная</t>
  </si>
  <si>
    <t>Монтаж  КТПН 2х250   кВА № 8, тупиковая</t>
  </si>
  <si>
    <t>Монтаж  КТПН 250  кВА № 9, тупиковая</t>
  </si>
  <si>
    <t>Монтаж КТПН 2х630 кВА   проходная</t>
  </si>
  <si>
    <t>в том числе ПТП</t>
  </si>
  <si>
    <t xml:space="preserve">Монтаж КТПН 100 кВА </t>
  </si>
  <si>
    <t xml:space="preserve">Монтаж КТПН 250 кВА </t>
  </si>
  <si>
    <t xml:space="preserve">Строительство ВЛИ – 0,4 кВ от КТПН № 1-9 до земельных участков </t>
  </si>
  <si>
    <t>17</t>
  </si>
  <si>
    <t xml:space="preserve">Строительство ВЛИ – 0,4 кВ от существующей опоры ВЛ-0,4 кВ </t>
  </si>
  <si>
    <t>35.2; 37.3; 16</t>
  </si>
  <si>
    <t xml:space="preserve">Строительство КЛ-0,4 кВ от КТПН </t>
  </si>
  <si>
    <t>ВЛ - 6 кВ (ВЛЗ)</t>
  </si>
  <si>
    <t>15.1; 35.1</t>
  </si>
  <si>
    <t>24.1; 25.1; 37.1</t>
  </si>
  <si>
    <t xml:space="preserve">                                                                   Монтаж КТПН 63 кВА
</t>
  </si>
  <si>
    <t>За счёт собственных средств</t>
  </si>
  <si>
    <t>За счёт  ПТП</t>
  </si>
  <si>
    <t>7</t>
  </si>
  <si>
    <t>8</t>
  </si>
  <si>
    <t>9</t>
  </si>
  <si>
    <t>10</t>
  </si>
  <si>
    <t>11</t>
  </si>
  <si>
    <t>12</t>
  </si>
  <si>
    <t>13</t>
  </si>
  <si>
    <t>14</t>
  </si>
  <si>
    <t>"____" __________ 2015</t>
  </si>
  <si>
    <t>Строительство ВЛ-6кВ  до  КТПН</t>
  </si>
  <si>
    <t xml:space="preserve">Строительство ВЛ – 6 кВ </t>
  </si>
  <si>
    <t>3; 4; 6.1; 6,2</t>
  </si>
  <si>
    <t xml:space="preserve">Строительство КЛ – 6 кВ  </t>
  </si>
  <si>
    <t>"____" ______________ 2015</t>
  </si>
  <si>
    <t xml:space="preserve">СИП 3х35+1х50                                             </t>
  </si>
  <si>
    <t>СИП 4х16                                              СИП 4х25</t>
  </si>
  <si>
    <t>СИП3 1х95</t>
  </si>
  <si>
    <t>СВ-110-5</t>
  </si>
  <si>
    <t>"______"  _______________ 2015</t>
  </si>
  <si>
    <t>"_____" ________________ 2015</t>
  </si>
  <si>
    <t>Отчет о вводах/выводах объектов  в  2015 г. (представляется ежеквартально)</t>
  </si>
  <si>
    <t xml:space="preserve">Монтаж КТПН 63 кВА
</t>
  </si>
  <si>
    <t>3; 4</t>
  </si>
  <si>
    <t>Строительство КЛ – 6 кВ  до КТПН 2х100 кВА</t>
  </si>
  <si>
    <t>2015 г.</t>
  </si>
  <si>
    <t xml:space="preserve">Строительство ВЛИ – 0,4 кВ от КТПН  до земельных участков </t>
  </si>
  <si>
    <t xml:space="preserve">Строительство ВЛИ – 0,4 кВ от КТПН   до земельных участков </t>
  </si>
  <si>
    <t>Строительство ВЛ – 6 кВ</t>
  </si>
  <si>
    <t>№                  п/п</t>
  </si>
  <si>
    <t>"______" ______________ 2015 г.</t>
  </si>
  <si>
    <t>01.2015</t>
  </si>
  <si>
    <t>12.2015</t>
  </si>
  <si>
    <t>01.2015.</t>
  </si>
  <si>
    <t>05.2015.</t>
  </si>
  <si>
    <t>06.2015.</t>
  </si>
  <si>
    <t>09.2015.</t>
  </si>
  <si>
    <t>07.2015.</t>
  </si>
  <si>
    <t>7.2015.</t>
  </si>
  <si>
    <t>08.2015.</t>
  </si>
  <si>
    <t>12.2015.</t>
  </si>
  <si>
    <t>03.2015.</t>
  </si>
  <si>
    <t>06.2015</t>
  </si>
  <si>
    <t>09.2015</t>
  </si>
  <si>
    <t>02.2015.</t>
  </si>
  <si>
    <t>03.2015</t>
  </si>
  <si>
    <t xml:space="preserve">Монтаж КТПН 63 кВА </t>
  </si>
  <si>
    <t xml:space="preserve">Строительство ВЛИ – 0,4 кВ </t>
  </si>
  <si>
    <t>8.1</t>
  </si>
  <si>
    <t>Монтаж КТПН 2х630 кВА   тупиковая</t>
  </si>
  <si>
    <t xml:space="preserve">Монтаж МТП 160 кВА </t>
  </si>
  <si>
    <t>7,1</t>
  </si>
  <si>
    <t>7.1.</t>
  </si>
  <si>
    <t>7.1</t>
  </si>
  <si>
    <t xml:space="preserve">Монтаж КТПН  2х630 кВА </t>
  </si>
  <si>
    <t>8.1.</t>
  </si>
  <si>
    <t xml:space="preserve">Монтаж  МТП 160 кВА </t>
  </si>
  <si>
    <t xml:space="preserve">Монтаж  КТПН 2х630  кВА </t>
  </si>
  <si>
    <t>за отчетный                                             квартал</t>
  </si>
  <si>
    <t>за отчетный                                           квартал</t>
  </si>
  <si>
    <t xml:space="preserve">Монтаж КТПН                       2х630 кВА </t>
  </si>
  <si>
    <t xml:space="preserve">Монтаж КТПН                           2х100 кВА </t>
  </si>
  <si>
    <t>Строительство                               ВЛИ – 0,4 кВ</t>
  </si>
  <si>
    <t>Строительство                          ВЛИ – 0,4 кВ</t>
  </si>
  <si>
    <t xml:space="preserve">Строительство                            ВЛ – 6 кВ </t>
  </si>
  <si>
    <t>Строительство                                    ВЛ-6кВ  до  КТПН</t>
  </si>
  <si>
    <t xml:space="preserve">Строительство                          КЛ-0,4 кВ от КТПН </t>
  </si>
  <si>
    <t xml:space="preserve">Строительство                              КЛ – 6 кВ  </t>
  </si>
  <si>
    <t>&lt;*&gt; В ценах отчетного года.</t>
  </si>
  <si>
    <t>&lt;**&gt; План согласно утвержденной инвестиционной программе</t>
  </si>
  <si>
    <t>&lt;***&gt; Накопленным итогом за год.</t>
  </si>
  <si>
    <t>Примечание: для сетевых объектов с разделением объектов на ПС, ВЛ и КЛ</t>
  </si>
  <si>
    <t>&lt;*&gt; С разделением объектов на ПС, ВЛ и КЛ с указанием уровня напряжения.</t>
  </si>
  <si>
    <t>&lt;**&gt; Согласно проектно-сметной документации с учетом перевода в прогнозные цены планируемого периода с НДС.</t>
  </si>
  <si>
    <t>План в соответствии с утвержденной инвестиционной программой.</t>
  </si>
  <si>
    <t>План в соответствии с утвержденной инвестиционной программой</t>
  </si>
  <si>
    <t xml:space="preserve">Отчет об исполнении инвестиционной программы  в  2015 г. </t>
  </si>
  <si>
    <t>в  2015 году  с НДС   (представляется ежеквартально)</t>
  </si>
  <si>
    <t>Отчет об исполнении сетевых графиков строительства проектов 
2015 г</t>
  </si>
  <si>
    <t>Сумма,                              руб.</t>
  </si>
  <si>
    <t>Стоимость строительства 1 км. линии</t>
  </si>
  <si>
    <t>№№                                      пп</t>
  </si>
  <si>
    <t>Стоимость                              стр-ва 1 км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</si>
</sst>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#,##0.0_ ;\-#,##0.0\ "/>
    <numFmt numFmtId="167" formatCode="#,##0_ ;\-#,##0\ "/>
    <numFmt numFmtId="168" formatCode="#,##0.00_ ;\-#,##0.00\ "/>
    <numFmt numFmtId="169" formatCode="0.000"/>
    <numFmt numFmtId="170" formatCode="0.0"/>
    <numFmt numFmtId="171" formatCode="0.0%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#,##0.000"/>
    <numFmt numFmtId="181" formatCode="0.000%"/>
    <numFmt numFmtId="182" formatCode="[$-FC19]d\ mmmm\ yyyy\ &quot;г.&quot;"/>
    <numFmt numFmtId="183" formatCode="#,##0.0000"/>
    <numFmt numFmtId="184" formatCode="#,##0.00000"/>
    <numFmt numFmtId="185" formatCode="0.00000000"/>
    <numFmt numFmtId="186" formatCode="_-* #,##0.000_р_._-;\-* #,##0.000_р_._-;_-* &quot;-&quot;??_р_._-;_-@_-"/>
    <numFmt numFmtId="187" formatCode="######0.0#####"/>
    <numFmt numFmtId="188" formatCode="_-* #,##0;\(#,##0\);_-* &quot;-&quot;??;_-@"/>
    <numFmt numFmtId="189" formatCode="###,###,###,##0,\,000"/>
    <numFmt numFmtId="190" formatCode="_(* #,##0_);_(* \(#,##0\);_(* &quot;-&quot;_);_(@_)"/>
    <numFmt numFmtId="191" formatCode="_(* #,##0.00_);_(* \(#,##0.00\);_(* &quot;-&quot;_);_(@_)"/>
    <numFmt numFmtId="192" formatCode="#,##0.000000"/>
    <numFmt numFmtId="193" formatCode="#,##0.0000000"/>
    <numFmt numFmtId="194" formatCode="0.0000000000"/>
    <numFmt numFmtId="195" formatCode="0.00000000000"/>
    <numFmt numFmtId="196" formatCode="0.000000000000"/>
    <numFmt numFmtId="197" formatCode="0.000000000"/>
    <numFmt numFmtId="198" formatCode="#,##0.00000000"/>
    <numFmt numFmtId="199" formatCode="#,##0.000000000"/>
    <numFmt numFmtId="200" formatCode="#,##0.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_-* #,##0_р_._-;\-* #,##0_р_._-;_-* &quot;-&quot;??_р_._-;_-@_-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2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20"/>
      <name val="Times New Roman"/>
      <family val="1"/>
    </font>
    <font>
      <sz val="16"/>
      <name val="Arial Cyr"/>
      <family val="0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>
      <alignment horizontal="left" vertical="top"/>
      <protection/>
    </xf>
    <xf numFmtId="0" fontId="24" fillId="16" borderId="0">
      <alignment horizontal="left" vertical="top"/>
      <protection/>
    </xf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5" fillId="7" borderId="1" applyNumberFormat="0" applyAlignment="0" applyProtection="0"/>
    <xf numFmtId="0" fontId="26" fillId="21" borderId="2" applyNumberFormat="0" applyAlignment="0" applyProtection="0"/>
    <xf numFmtId="0" fontId="27" fillId="21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2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8" fillId="0" borderId="10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1" fillId="0" borderId="0" xfId="96" applyFont="1" applyFill="1" applyAlignment="1">
      <alignment horizontal="center" vertical="center"/>
      <protection/>
    </xf>
    <xf numFmtId="0" fontId="41" fillId="0" borderId="0" xfId="96" applyFont="1" applyFill="1" applyAlignment="1">
      <alignment vertical="center"/>
      <protection/>
    </xf>
    <xf numFmtId="0" fontId="6" fillId="0" borderId="0" xfId="96" applyFont="1" applyFill="1">
      <alignment/>
      <protection/>
    </xf>
    <xf numFmtId="0" fontId="5" fillId="0" borderId="0" xfId="96" applyFont="1" applyFill="1" applyAlignment="1">
      <alignment horizontal="center" vertical="top" wrapText="1"/>
      <protection/>
    </xf>
    <xf numFmtId="0" fontId="6" fillId="0" borderId="0" xfId="96" applyFont="1" applyFill="1" applyAlignment="1">
      <alignment horizontal="center" vertical="center"/>
      <protection/>
    </xf>
    <xf numFmtId="0" fontId="6" fillId="0" borderId="0" xfId="96" applyFont="1" applyFill="1" applyAlignment="1">
      <alignment vertical="center"/>
      <protection/>
    </xf>
    <xf numFmtId="0" fontId="6" fillId="0" borderId="0" xfId="96" applyFont="1" applyAlignment="1">
      <alignment horizontal="right"/>
      <protection/>
    </xf>
    <xf numFmtId="0" fontId="5" fillId="0" borderId="11" xfId="96" applyNumberFormat="1" applyFont="1" applyFill="1" applyBorder="1" applyAlignment="1">
      <alignment horizontal="center" vertical="center" wrapText="1"/>
      <protection/>
    </xf>
    <xf numFmtId="17" fontId="5" fillId="0" borderId="11" xfId="95" applyNumberFormat="1" applyFont="1" applyFill="1" applyBorder="1" applyAlignment="1">
      <alignment horizontal="center" vertical="center" wrapText="1"/>
      <protection/>
    </xf>
    <xf numFmtId="0" fontId="6" fillId="0" borderId="11" xfId="95" applyFont="1" applyFill="1" applyBorder="1" applyAlignment="1">
      <alignment horizontal="center" vertical="center"/>
      <protection/>
    </xf>
    <xf numFmtId="0" fontId="6" fillId="0" borderId="11" xfId="95" applyFont="1" applyBorder="1" applyAlignment="1">
      <alignment vertical="center" wrapText="1"/>
      <protection/>
    </xf>
    <xf numFmtId="16" fontId="6" fillId="0" borderId="11" xfId="95" applyNumberFormat="1" applyFont="1" applyFill="1" applyBorder="1" applyAlignment="1">
      <alignment horizontal="center" vertical="center" wrapText="1"/>
      <protection/>
    </xf>
    <xf numFmtId="0" fontId="6" fillId="0" borderId="11" xfId="95" applyNumberFormat="1" applyFont="1" applyFill="1" applyBorder="1" applyAlignment="1">
      <alignment horizontal="center" vertical="center" wrapText="1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15" fillId="0" borderId="0" xfId="97" applyFont="1" applyAlignment="1">
      <alignment horizontal="left" vertical="top" wrapText="1"/>
      <protection/>
    </xf>
    <xf numFmtId="0" fontId="5" fillId="0" borderId="11" xfId="67" applyFont="1" applyFill="1" applyBorder="1" applyAlignment="1">
      <alignment horizontal="center" vertical="center"/>
      <protection/>
    </xf>
    <xf numFmtId="16" fontId="6" fillId="0" borderId="13" xfId="95" applyNumberFormat="1" applyFont="1" applyFill="1" applyBorder="1" applyAlignment="1">
      <alignment horizontal="center" vertical="center" wrapText="1"/>
      <protection/>
    </xf>
    <xf numFmtId="0" fontId="6" fillId="0" borderId="13" xfId="95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1" xfId="96" applyFont="1" applyFill="1" applyBorder="1" applyAlignment="1">
      <alignment horizontal="center" vertical="center" wrapText="1"/>
      <protection/>
    </xf>
    <xf numFmtId="0" fontId="6" fillId="0" borderId="0" xfId="98" applyFont="1">
      <alignment/>
      <protection/>
    </xf>
    <xf numFmtId="0" fontId="6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42" fillId="0" borderId="0" xfId="96" applyFont="1" applyFill="1" applyAlignment="1">
      <alignment horizontal="center" vertical="center"/>
      <protection/>
    </xf>
    <xf numFmtId="0" fontId="18" fillId="0" borderId="16" xfId="0" applyFont="1" applyBorder="1" applyAlignment="1">
      <alignment horizontal="center" vertical="center"/>
    </xf>
    <xf numFmtId="0" fontId="41" fillId="0" borderId="0" xfId="97" applyFont="1" applyAlignment="1">
      <alignment horizontal="left" vertical="top" wrapText="1"/>
      <protection/>
    </xf>
    <xf numFmtId="0" fontId="41" fillId="0" borderId="17" xfId="97" applyFont="1" applyBorder="1" applyAlignment="1">
      <alignment horizontal="left" vertical="top" wrapText="1"/>
      <protection/>
    </xf>
    <xf numFmtId="0" fontId="18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96" applyFont="1" applyFill="1" applyBorder="1" applyAlignment="1">
      <alignment horizontal="center" vertical="center" wrapText="1"/>
      <protection/>
    </xf>
    <xf numFmtId="0" fontId="6" fillId="0" borderId="11" xfId="96" applyFont="1" applyFill="1" applyBorder="1" applyAlignment="1">
      <alignment horizontal="center" vertical="center"/>
      <protection/>
    </xf>
    <xf numFmtId="0" fontId="6" fillId="0" borderId="11" xfId="96" applyFont="1" applyFill="1" applyBorder="1">
      <alignment/>
      <protection/>
    </xf>
    <xf numFmtId="0" fontId="4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3" fontId="41" fillId="0" borderId="10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184" fontId="15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3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80" fontId="41" fillId="0" borderId="0" xfId="0" applyNumberFormat="1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/>
    </xf>
    <xf numFmtId="180" fontId="9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69" fontId="13" fillId="0" borderId="11" xfId="0" applyNumberFormat="1" applyFont="1" applyBorder="1" applyAlignment="1">
      <alignment horizontal="center" vertical="center"/>
    </xf>
    <xf numFmtId="0" fontId="5" fillId="0" borderId="10" xfId="96" applyFont="1" applyFill="1" applyBorder="1" applyAlignment="1">
      <alignment horizontal="center" vertical="center" wrapText="1"/>
      <protection/>
    </xf>
    <xf numFmtId="0" fontId="6" fillId="0" borderId="0" xfId="98" applyFont="1">
      <alignment/>
      <protection/>
    </xf>
    <xf numFmtId="0" fontId="6" fillId="0" borderId="18" xfId="96" applyFont="1" applyFill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/>
    </xf>
    <xf numFmtId="179" fontId="41" fillId="0" borderId="10" xfId="0" applyNumberFormat="1" applyFont="1" applyBorder="1" applyAlignment="1">
      <alignment horizontal="center" vertical="center"/>
    </xf>
    <xf numFmtId="178" fontId="41" fillId="0" borderId="10" xfId="0" applyNumberFormat="1" applyFont="1" applyBorder="1" applyAlignment="1">
      <alignment horizontal="center" vertical="center"/>
    </xf>
    <xf numFmtId="179" fontId="15" fillId="0" borderId="10" xfId="0" applyNumberFormat="1" applyFont="1" applyBorder="1" applyAlignment="1">
      <alignment horizontal="center" vertical="center"/>
    </xf>
    <xf numFmtId="184" fontId="41" fillId="0" borderId="0" xfId="0" applyNumberFormat="1" applyFont="1" applyAlignment="1">
      <alignment/>
    </xf>
    <xf numFmtId="184" fontId="15" fillId="0" borderId="10" xfId="0" applyNumberFormat="1" applyFont="1" applyBorder="1" applyAlignment="1">
      <alignment horizontal="center" vertical="center"/>
    </xf>
    <xf numFmtId="10" fontId="9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169" fontId="2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49" fontId="6" fillId="25" borderId="11" xfId="0" applyNumberFormat="1" applyFont="1" applyFill="1" applyBorder="1" applyAlignment="1">
      <alignment horizontal="left" vertical="center" wrapText="1"/>
    </xf>
    <xf numFmtId="49" fontId="6" fillId="25" borderId="11" xfId="0" applyNumberFormat="1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left" vertical="center" wrapText="1"/>
    </xf>
    <xf numFmtId="49" fontId="6" fillId="21" borderId="11" xfId="0" applyNumberFormat="1" applyFont="1" applyFill="1" applyBorder="1" applyAlignment="1">
      <alignment horizontal="center" vertical="center"/>
    </xf>
    <xf numFmtId="0" fontId="18" fillId="21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25" borderId="11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left" vertical="center" wrapText="1"/>
    </xf>
    <xf numFmtId="49" fontId="6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justify" wrapText="1"/>
    </xf>
    <xf numFmtId="49" fontId="6" fillId="4" borderId="11" xfId="0" applyNumberFormat="1" applyFont="1" applyFill="1" applyBorder="1" applyAlignment="1">
      <alignment horizontal="left" vertical="justify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1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49" fontId="18" fillId="25" borderId="11" xfId="0" applyNumberFormat="1" applyFont="1" applyFill="1" applyBorder="1" applyAlignment="1">
      <alignment horizontal="center" vertical="center" wrapText="1"/>
    </xf>
    <xf numFmtId="180" fontId="15" fillId="0" borderId="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3" fontId="6" fillId="4" borderId="10" xfId="0" applyNumberFormat="1" applyFont="1" applyFill="1" applyBorder="1" applyAlignment="1">
      <alignment horizontal="center" vertical="center"/>
    </xf>
    <xf numFmtId="169" fontId="6" fillId="4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3" fontId="15" fillId="4" borderId="10" xfId="0" applyNumberFormat="1" applyFont="1" applyFill="1" applyBorder="1" applyAlignment="1">
      <alignment horizontal="center" vertical="center"/>
    </xf>
    <xf numFmtId="1" fontId="15" fillId="4" borderId="10" xfId="0" applyNumberFormat="1" applyFont="1" applyFill="1" applyBorder="1" applyAlignment="1">
      <alignment horizontal="center" vertical="center"/>
    </xf>
    <xf numFmtId="180" fontId="15" fillId="4" borderId="10" xfId="0" applyNumberFormat="1" applyFont="1" applyFill="1" applyBorder="1" applyAlignment="1">
      <alignment horizontal="center" vertical="center"/>
    </xf>
    <xf numFmtId="169" fontId="15" fillId="4" borderId="11" xfId="0" applyNumberFormat="1" applyFont="1" applyFill="1" applyBorder="1" applyAlignment="1">
      <alignment horizontal="center" vertical="center"/>
    </xf>
    <xf numFmtId="0" fontId="15" fillId="4" borderId="10" xfId="0" applyNumberFormat="1" applyFont="1" applyFill="1" applyBorder="1" applyAlignment="1">
      <alignment horizontal="center" vertical="center"/>
    </xf>
    <xf numFmtId="169" fontId="15" fillId="4" borderId="10" xfId="0" applyNumberFormat="1" applyFont="1" applyFill="1" applyBorder="1" applyAlignment="1">
      <alignment horizontal="center" vertical="center"/>
    </xf>
    <xf numFmtId="0" fontId="18" fillId="4" borderId="10" xfId="0" applyNumberFormat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center" vertical="center"/>
    </xf>
    <xf numFmtId="0" fontId="9" fillId="4" borderId="10" xfId="0" applyNumberFormat="1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180" fontId="41" fillId="4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9" fontId="4" fillId="21" borderId="11" xfId="0" applyNumberFormat="1" applyFont="1" applyFill="1" applyBorder="1" applyAlignment="1">
      <alignment horizontal="center" vertical="center"/>
    </xf>
    <xf numFmtId="169" fontId="41" fillId="21" borderId="11" xfId="0" applyNumberFormat="1" applyFont="1" applyFill="1" applyBorder="1" applyAlignment="1">
      <alignment horizontal="center" vertical="center"/>
    </xf>
    <xf numFmtId="0" fontId="18" fillId="21" borderId="10" xfId="0" applyNumberFormat="1" applyFont="1" applyFill="1" applyBorder="1" applyAlignment="1">
      <alignment horizontal="center" vertical="center"/>
    </xf>
    <xf numFmtId="0" fontId="15" fillId="21" borderId="11" xfId="0" applyFont="1" applyFill="1" applyBorder="1" applyAlignment="1">
      <alignment horizontal="center" vertical="center"/>
    </xf>
    <xf numFmtId="0" fontId="18" fillId="21" borderId="12" xfId="0" applyNumberFormat="1" applyFont="1" applyFill="1" applyBorder="1" applyAlignment="1">
      <alignment horizontal="center" vertical="center"/>
    </xf>
    <xf numFmtId="0" fontId="18" fillId="21" borderId="13" xfId="0" applyNumberFormat="1" applyFont="1" applyFill="1" applyBorder="1" applyAlignment="1">
      <alignment horizontal="center" vertical="center"/>
    </xf>
    <xf numFmtId="0" fontId="4" fillId="21" borderId="19" xfId="0" applyFont="1" applyFill="1" applyBorder="1" applyAlignment="1">
      <alignment horizontal="center" vertical="center" wrapText="1"/>
    </xf>
    <xf numFmtId="0" fontId="11" fillId="21" borderId="10" xfId="0" applyNumberFormat="1" applyFont="1" applyFill="1" applyBorder="1" applyAlignment="1">
      <alignment horizontal="center" vertical="center"/>
    </xf>
    <xf numFmtId="0" fontId="11" fillId="21" borderId="12" xfId="0" applyNumberFormat="1" applyFont="1" applyFill="1" applyBorder="1" applyAlignment="1">
      <alignment horizontal="center" vertical="center"/>
    </xf>
    <xf numFmtId="180" fontId="41" fillId="21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49" fontId="1" fillId="21" borderId="11" xfId="0" applyNumberFormat="1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left" vertical="center" wrapText="1"/>
    </xf>
    <xf numFmtId="0" fontId="13" fillId="21" borderId="11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vertical="center" wrapText="1"/>
    </xf>
    <xf numFmtId="4" fontId="15" fillId="25" borderId="11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1" borderId="11" xfId="0" applyFont="1" applyFill="1" applyBorder="1" applyAlignment="1">
      <alignment horizontal="center" vertical="center"/>
    </xf>
    <xf numFmtId="4" fontId="6" fillId="25" borderId="11" xfId="0" applyNumberFormat="1" applyFont="1" applyFill="1" applyBorder="1" applyAlignment="1">
      <alignment horizontal="center" vertical="center" wrapText="1"/>
    </xf>
    <xf numFmtId="0" fontId="6" fillId="21" borderId="11" xfId="0" applyFont="1" applyFill="1" applyBorder="1" applyAlignment="1">
      <alignment/>
    </xf>
    <xf numFmtId="0" fontId="6" fillId="2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6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9" fontId="6" fillId="0" borderId="11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 wrapText="1"/>
    </xf>
    <xf numFmtId="49" fontId="49" fillId="4" borderId="11" xfId="0" applyNumberFormat="1" applyFont="1" applyFill="1" applyBorder="1" applyAlignment="1">
      <alignment horizontal="center" vertical="center"/>
    </xf>
    <xf numFmtId="169" fontId="1" fillId="4" borderId="11" xfId="0" applyNumberFormat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/>
    </xf>
    <xf numFmtId="179" fontId="1" fillId="4" borderId="11" xfId="0" applyNumberFormat="1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left" vertical="center" wrapText="1"/>
    </xf>
    <xf numFmtId="0" fontId="6" fillId="25" borderId="11" xfId="0" applyFont="1" applyFill="1" applyBorder="1" applyAlignment="1">
      <alignment horizontal="left" vertical="justify" wrapText="1"/>
    </xf>
    <xf numFmtId="49" fontId="1" fillId="25" borderId="11" xfId="0" applyNumberFormat="1" applyFont="1" applyFill="1" applyBorder="1" applyAlignment="1">
      <alignment horizontal="center" vertical="center" wrapText="1"/>
    </xf>
    <xf numFmtId="49" fontId="1" fillId="25" borderId="11" xfId="0" applyNumberFormat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169" fontId="1" fillId="4" borderId="11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69" fontId="1" fillId="4" borderId="10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/>
    </xf>
    <xf numFmtId="169" fontId="50" fillId="4" borderId="10" xfId="0" applyNumberFormat="1" applyFont="1" applyFill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49" fontId="6" fillId="25" borderId="11" xfId="0" applyNumberFormat="1" applyFont="1" applyFill="1" applyBorder="1" applyAlignment="1">
      <alignment vertical="justify" wrapText="1"/>
    </xf>
    <xf numFmtId="169" fontId="1" fillId="0" borderId="0" xfId="0" applyNumberFormat="1" applyFont="1" applyAlignment="1">
      <alignment/>
    </xf>
    <xf numFmtId="169" fontId="9" fillId="4" borderId="11" xfId="0" applyNumberFormat="1" applyFont="1" applyFill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center" vertical="center"/>
    </xf>
    <xf numFmtId="16" fontId="6" fillId="25" borderId="11" xfId="95" applyNumberFormat="1" applyFont="1" applyFill="1" applyBorder="1" applyAlignment="1">
      <alignment horizontal="center" vertical="center" wrapText="1"/>
      <protection/>
    </xf>
    <xf numFmtId="0" fontId="6" fillId="25" borderId="11" xfId="95" applyNumberFormat="1" applyFont="1" applyFill="1" applyBorder="1" applyAlignment="1">
      <alignment horizontal="center" vertical="center" wrapText="1"/>
      <protection/>
    </xf>
    <xf numFmtId="0" fontId="5" fillId="25" borderId="11" xfId="67" applyFont="1" applyFill="1" applyBorder="1" applyAlignment="1">
      <alignment horizontal="center" vertical="center"/>
      <protection/>
    </xf>
    <xf numFmtId="0" fontId="6" fillId="25" borderId="11" xfId="95" applyFont="1" applyFill="1" applyBorder="1" applyAlignment="1">
      <alignment horizontal="center" vertical="center"/>
      <protection/>
    </xf>
    <xf numFmtId="0" fontId="6" fillId="25" borderId="11" xfId="96" applyFont="1" applyFill="1" applyBorder="1">
      <alignment/>
      <protection/>
    </xf>
    <xf numFmtId="0" fontId="5" fillId="25" borderId="10" xfId="96" applyFont="1" applyFill="1" applyBorder="1" applyAlignment="1">
      <alignment horizontal="center" vertical="center" wrapText="1"/>
      <protection/>
    </xf>
    <xf numFmtId="0" fontId="6" fillId="25" borderId="11" xfId="67" applyFont="1" applyFill="1" applyBorder="1" applyAlignment="1">
      <alignment horizontal="center" vertical="center"/>
      <protection/>
    </xf>
    <xf numFmtId="17" fontId="5" fillId="25" borderId="11" xfId="95" applyNumberFormat="1" applyFont="1" applyFill="1" applyBorder="1" applyAlignment="1">
      <alignment horizontal="center" vertical="center" wrapText="1"/>
      <protection/>
    </xf>
    <xf numFmtId="49" fontId="5" fillId="25" borderId="10" xfId="0" applyNumberFormat="1" applyFont="1" applyFill="1" applyBorder="1" applyAlignment="1">
      <alignment horizontal="center" vertical="center" wrapText="1"/>
    </xf>
    <xf numFmtId="0" fontId="5" fillId="21" borderId="10" xfId="96" applyFont="1" applyFill="1" applyBorder="1" applyAlignment="1">
      <alignment horizontal="center" vertical="center" wrapText="1"/>
      <protection/>
    </xf>
    <xf numFmtId="0" fontId="5" fillId="21" borderId="11" xfId="95" applyFont="1" applyFill="1" applyBorder="1" applyAlignment="1">
      <alignment vertical="center" wrapText="1"/>
      <protection/>
    </xf>
    <xf numFmtId="0" fontId="6" fillId="21" borderId="13" xfId="95" applyNumberFormat="1" applyFont="1" applyFill="1" applyBorder="1" applyAlignment="1">
      <alignment horizontal="center" vertical="center" wrapText="1"/>
      <protection/>
    </xf>
    <xf numFmtId="0" fontId="6" fillId="21" borderId="11" xfId="95" applyNumberFormat="1" applyFont="1" applyFill="1" applyBorder="1" applyAlignment="1">
      <alignment horizontal="center" vertical="center" wrapText="1"/>
      <protection/>
    </xf>
    <xf numFmtId="16" fontId="6" fillId="21" borderId="11" xfId="95" applyNumberFormat="1" applyFont="1" applyFill="1" applyBorder="1" applyAlignment="1">
      <alignment horizontal="center" vertical="center" wrapText="1"/>
      <protection/>
    </xf>
    <xf numFmtId="0" fontId="6" fillId="21" borderId="11" xfId="67" applyFont="1" applyFill="1" applyBorder="1" applyAlignment="1">
      <alignment horizontal="center" vertical="center"/>
      <protection/>
    </xf>
    <xf numFmtId="0" fontId="6" fillId="21" borderId="11" xfId="95" applyFont="1" applyFill="1" applyBorder="1" applyAlignment="1">
      <alignment horizontal="center" vertical="center"/>
      <protection/>
    </xf>
    <xf numFmtId="0" fontId="6" fillId="21" borderId="11" xfId="96" applyFont="1" applyFill="1" applyBorder="1">
      <alignment/>
      <protection/>
    </xf>
    <xf numFmtId="0" fontId="5" fillId="21" borderId="10" xfId="0" applyFont="1" applyFill="1" applyBorder="1" applyAlignment="1">
      <alignment horizontal="left" vertical="justify" wrapText="1"/>
    </xf>
    <xf numFmtId="0" fontId="9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left" vertical="center" wrapText="1"/>
    </xf>
    <xf numFmtId="49" fontId="5" fillId="25" borderId="11" xfId="0" applyNumberFormat="1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horizontal="left" vertical="justify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49" fontId="18" fillId="4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80" fontId="1" fillId="4" borderId="10" xfId="0" applyNumberFormat="1" applyFont="1" applyFill="1" applyBorder="1" applyAlignment="1">
      <alignment horizontal="center" vertical="center"/>
    </xf>
    <xf numFmtId="169" fontId="1" fillId="4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169" fontId="2" fillId="4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9" fillId="21" borderId="11" xfId="0" applyFont="1" applyFill="1" applyBorder="1" applyAlignment="1">
      <alignment/>
    </xf>
    <xf numFmtId="0" fontId="11" fillId="21" borderId="11" xfId="0" applyFont="1" applyFill="1" applyBorder="1" applyAlignment="1">
      <alignment/>
    </xf>
    <xf numFmtId="0" fontId="2" fillId="21" borderId="11" xfId="0" applyFont="1" applyFill="1" applyBorder="1" applyAlignment="1">
      <alignment/>
    </xf>
    <xf numFmtId="0" fontId="19" fillId="0" borderId="0" xfId="0" applyFont="1" applyAlignment="1">
      <alignment/>
    </xf>
    <xf numFmtId="0" fontId="15" fillId="0" borderId="10" xfId="0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left" vertical="center" wrapText="1"/>
    </xf>
    <xf numFmtId="0" fontId="18" fillId="21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180" fontId="11" fillId="0" borderId="0" xfId="0" applyNumberFormat="1" applyFont="1" applyAlignment="1">
      <alignment vertical="center"/>
    </xf>
    <xf numFmtId="0" fontId="14" fillId="0" borderId="16" xfId="0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9" fontId="1" fillId="0" borderId="12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8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16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 wrapText="1"/>
    </xf>
    <xf numFmtId="169" fontId="6" fillId="0" borderId="11" xfId="0" applyNumberFormat="1" applyFont="1" applyBorder="1" applyAlignment="1">
      <alignment horizontal="center" vertical="center"/>
    </xf>
    <xf numFmtId="169" fontId="6" fillId="4" borderId="11" xfId="0" applyNumberFormat="1" applyFont="1" applyFill="1" applyBorder="1" applyAlignment="1">
      <alignment horizontal="center" vertical="center"/>
    </xf>
    <xf numFmtId="49" fontId="5" fillId="25" borderId="10" xfId="96" applyNumberFormat="1" applyFont="1" applyFill="1" applyBorder="1" applyAlignment="1">
      <alignment horizontal="center" vertical="center" wrapText="1"/>
      <protection/>
    </xf>
    <xf numFmtId="0" fontId="5" fillId="0" borderId="0" xfId="96" applyFont="1" applyFill="1" applyBorder="1" applyAlignment="1">
      <alignment horizontal="center" vertical="center" wrapText="1"/>
      <protection/>
    </xf>
    <xf numFmtId="0" fontId="6" fillId="0" borderId="0" xfId="95" applyFont="1" applyBorder="1" applyAlignment="1">
      <alignment vertical="center" wrapText="1"/>
      <protection/>
    </xf>
    <xf numFmtId="0" fontId="6" fillId="0" borderId="0" xfId="95" applyNumberFormat="1" applyFont="1" applyFill="1" applyBorder="1" applyAlignment="1">
      <alignment horizontal="center" vertical="center" wrapText="1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6" fillId="0" borderId="0" xfId="95" applyFont="1" applyFill="1" applyBorder="1" applyAlignment="1">
      <alignment horizontal="center" vertical="center"/>
      <protection/>
    </xf>
    <xf numFmtId="0" fontId="6" fillId="0" borderId="0" xfId="96" applyFont="1" applyFill="1" applyBorder="1">
      <alignment/>
      <protection/>
    </xf>
    <xf numFmtId="0" fontId="5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184" fontId="41" fillId="21" borderId="11" xfId="0" applyNumberFormat="1" applyFont="1" applyFill="1" applyBorder="1" applyAlignment="1">
      <alignment horizontal="center" vertical="center"/>
    </xf>
    <xf numFmtId="0" fontId="41" fillId="21" borderId="10" xfId="0" applyFont="1" applyFill="1" applyBorder="1" applyAlignment="1">
      <alignment horizontal="center" vertical="center"/>
    </xf>
    <xf numFmtId="180" fontId="41" fillId="21" borderId="11" xfId="0" applyNumberFormat="1" applyFont="1" applyFill="1" applyBorder="1" applyAlignment="1">
      <alignment horizontal="center" vertical="center" wrapText="1"/>
    </xf>
    <xf numFmtId="184" fontId="41" fillId="21" borderId="10" xfId="0" applyNumberFormat="1" applyFont="1" applyFill="1" applyBorder="1" applyAlignment="1">
      <alignment horizontal="center" vertical="center"/>
    </xf>
    <xf numFmtId="3" fontId="41" fillId="21" borderId="10" xfId="0" applyNumberFormat="1" applyFont="1" applyFill="1" applyBorder="1" applyAlignment="1">
      <alignment horizontal="center" vertical="center"/>
    </xf>
    <xf numFmtId="1" fontId="41" fillId="21" borderId="10" xfId="0" applyNumberFormat="1" applyFont="1" applyFill="1" applyBorder="1" applyAlignment="1">
      <alignment horizontal="center" vertical="center"/>
    </xf>
    <xf numFmtId="0" fontId="14" fillId="21" borderId="10" xfId="0" applyFont="1" applyFill="1" applyBorder="1" applyAlignment="1">
      <alignment horizontal="center" vertical="center"/>
    </xf>
    <xf numFmtId="180" fontId="41" fillId="21" borderId="10" xfId="0" applyNumberFormat="1" applyFont="1" applyFill="1" applyBorder="1" applyAlignment="1">
      <alignment horizontal="center" vertical="center"/>
    </xf>
    <xf numFmtId="184" fontId="41" fillId="0" borderId="11" xfId="0" applyNumberFormat="1" applyFont="1" applyBorder="1" applyAlignment="1">
      <alignment horizontal="center" vertical="center"/>
    </xf>
    <xf numFmtId="180" fontId="41" fillId="0" borderId="11" xfId="0" applyNumberFormat="1" applyFont="1" applyFill="1" applyBorder="1" applyAlignment="1">
      <alignment horizontal="center" vertical="center"/>
    </xf>
    <xf numFmtId="169" fontId="41" fillId="0" borderId="10" xfId="0" applyNumberFormat="1" applyFont="1" applyBorder="1" applyAlignment="1">
      <alignment horizontal="center" vertical="center"/>
    </xf>
    <xf numFmtId="180" fontId="41" fillId="0" borderId="11" xfId="0" applyNumberFormat="1" applyFont="1" applyFill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4" fontId="41" fillId="4" borderId="11" xfId="0" applyNumberFormat="1" applyFont="1" applyFill="1" applyBorder="1" applyAlignment="1">
      <alignment horizontal="center" vertical="center"/>
    </xf>
    <xf numFmtId="180" fontId="41" fillId="25" borderId="11" xfId="0" applyNumberFormat="1" applyFont="1" applyFill="1" applyBorder="1" applyAlignment="1">
      <alignment horizontal="center" vertical="center"/>
    </xf>
    <xf numFmtId="169" fontId="41" fillId="4" borderId="10" xfId="0" applyNumberFormat="1" applyFont="1" applyFill="1" applyBorder="1" applyAlignment="1">
      <alignment horizontal="center" vertical="center"/>
    </xf>
    <xf numFmtId="180" fontId="41" fillId="4" borderId="11" xfId="0" applyNumberFormat="1" applyFont="1" applyFill="1" applyBorder="1" applyAlignment="1">
      <alignment horizontal="center" vertical="center" wrapText="1"/>
    </xf>
    <xf numFmtId="184" fontId="41" fillId="4" borderId="10" xfId="0" applyNumberFormat="1" applyFont="1" applyFill="1" applyBorder="1" applyAlignment="1">
      <alignment horizontal="center" vertical="center"/>
    </xf>
    <xf numFmtId="3" fontId="41" fillId="4" borderId="10" xfId="0" applyNumberFormat="1" applyFont="1" applyFill="1" applyBorder="1" applyAlignment="1">
      <alignment horizontal="center" vertical="center"/>
    </xf>
    <xf numFmtId="1" fontId="41" fillId="4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80" fontId="41" fillId="4" borderId="10" xfId="0" applyNumberFormat="1" applyFont="1" applyFill="1" applyBorder="1" applyAlignment="1">
      <alignment horizontal="center" vertical="center"/>
    </xf>
    <xf numFmtId="0" fontId="41" fillId="4" borderId="10" xfId="0" applyFont="1" applyFill="1" applyBorder="1" applyAlignment="1">
      <alignment horizontal="center" vertical="center"/>
    </xf>
    <xf numFmtId="180" fontId="41" fillId="25" borderId="10" xfId="0" applyNumberFormat="1" applyFont="1" applyFill="1" applyBorder="1" applyAlignment="1">
      <alignment horizontal="center" vertical="center"/>
    </xf>
    <xf numFmtId="180" fontId="41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183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/>
    </xf>
    <xf numFmtId="49" fontId="14" fillId="4" borderId="10" xfId="0" applyNumberFormat="1" applyFont="1" applyFill="1" applyBorder="1" applyAlignment="1">
      <alignment horizontal="center" vertical="center" wrapText="1"/>
    </xf>
    <xf numFmtId="49" fontId="14" fillId="4" borderId="11" xfId="0" applyNumberFormat="1" applyFont="1" applyFill="1" applyBorder="1" applyAlignment="1">
      <alignment horizontal="center" vertical="center" wrapText="1"/>
    </xf>
    <xf numFmtId="180" fontId="14" fillId="4" borderId="10" xfId="0" applyNumberFormat="1" applyFont="1" applyFill="1" applyBorder="1" applyAlignment="1">
      <alignment horizontal="center" vertical="center"/>
    </xf>
    <xf numFmtId="3" fontId="14" fillId="4" borderId="10" xfId="0" applyNumberFormat="1" applyFont="1" applyFill="1" applyBorder="1" applyAlignment="1">
      <alignment horizontal="center" vertical="center"/>
    </xf>
    <xf numFmtId="192" fontId="14" fillId="4" borderId="10" xfId="0" applyNumberFormat="1" applyFont="1" applyFill="1" applyBorder="1" applyAlignment="1">
      <alignment horizontal="center" vertical="center"/>
    </xf>
    <xf numFmtId="0" fontId="41" fillId="0" borderId="19" xfId="0" applyFont="1" applyBorder="1" applyAlignment="1">
      <alignment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184" fontId="41" fillId="0" borderId="11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169" fontId="14" fillId="0" borderId="10" xfId="0" applyNumberFormat="1" applyFont="1" applyBorder="1" applyAlignment="1">
      <alignment horizontal="center" vertical="center"/>
    </xf>
    <xf numFmtId="180" fontId="41" fillId="0" borderId="11" xfId="0" applyNumberFormat="1" applyFont="1" applyBorder="1" applyAlignment="1">
      <alignment horizontal="center" vertical="center" wrapText="1"/>
    </xf>
    <xf numFmtId="49" fontId="41" fillId="4" borderId="10" xfId="0" applyNumberFormat="1" applyFont="1" applyFill="1" applyBorder="1" applyAlignment="1">
      <alignment horizontal="center" vertical="center"/>
    </xf>
    <xf numFmtId="49" fontId="41" fillId="4" borderId="11" xfId="0" applyNumberFormat="1" applyFont="1" applyFill="1" applyBorder="1" applyAlignment="1">
      <alignment horizontal="center" vertical="center"/>
    </xf>
    <xf numFmtId="3" fontId="41" fillId="4" borderId="11" xfId="0" applyNumberFormat="1" applyFont="1" applyFill="1" applyBorder="1" applyAlignment="1">
      <alignment horizontal="center" vertical="center"/>
    </xf>
    <xf numFmtId="49" fontId="41" fillId="4" borderId="11" xfId="0" applyNumberFormat="1" applyFont="1" applyFill="1" applyBorder="1" applyAlignment="1">
      <alignment horizontal="center" vertical="center" wrapText="1"/>
    </xf>
    <xf numFmtId="3" fontId="41" fillId="4" borderId="11" xfId="0" applyNumberFormat="1" applyFont="1" applyFill="1" applyBorder="1" applyAlignment="1">
      <alignment horizontal="center" vertical="center" wrapText="1"/>
    </xf>
    <xf numFmtId="1" fontId="41" fillId="4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49" fontId="15" fillId="4" borderId="11" xfId="0" applyNumberFormat="1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49" fontId="15" fillId="4" borderId="11" xfId="0" applyNumberFormat="1" applyFont="1" applyFill="1" applyBorder="1" applyAlignment="1">
      <alignment horizontal="left" vertical="justify" wrapText="1"/>
    </xf>
    <xf numFmtId="0" fontId="15" fillId="25" borderId="11" xfId="0" applyFont="1" applyFill="1" applyBorder="1" applyAlignment="1">
      <alignment horizontal="left" vertical="center" wrapText="1"/>
    </xf>
    <xf numFmtId="49" fontId="15" fillId="25" borderId="11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4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14" fillId="21" borderId="10" xfId="0" applyNumberFormat="1" applyFont="1" applyFill="1" applyBorder="1" applyAlignment="1">
      <alignment horizontal="center" vertical="center"/>
    </xf>
    <xf numFmtId="16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69" fontId="41" fillId="4" borderId="11" xfId="0" applyNumberFormat="1" applyFont="1" applyFill="1" applyBorder="1" applyAlignment="1">
      <alignment horizontal="center" vertical="center"/>
    </xf>
    <xf numFmtId="0" fontId="41" fillId="4" borderId="10" xfId="0" applyNumberFormat="1" applyFont="1" applyFill="1" applyBorder="1" applyAlignment="1">
      <alignment horizontal="center" vertical="center"/>
    </xf>
    <xf numFmtId="0" fontId="14" fillId="4" borderId="10" xfId="0" applyNumberFormat="1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169" fontId="41" fillId="21" borderId="10" xfId="0" applyNumberFormat="1" applyFont="1" applyFill="1" applyBorder="1" applyAlignment="1">
      <alignment horizontal="center" vertical="center"/>
    </xf>
    <xf numFmtId="0" fontId="41" fillId="21" borderId="10" xfId="0" applyNumberFormat="1" applyFont="1" applyFill="1" applyBorder="1" applyAlignment="1">
      <alignment horizontal="center" vertical="center"/>
    </xf>
    <xf numFmtId="0" fontId="41" fillId="21" borderId="11" xfId="0" applyFont="1" applyFill="1" applyBorder="1" applyAlignment="1">
      <alignment horizontal="center" vertical="center"/>
    </xf>
    <xf numFmtId="169" fontId="41" fillId="0" borderId="11" xfId="0" applyNumberFormat="1" applyFont="1" applyFill="1" applyBorder="1" applyAlignment="1">
      <alignment horizontal="center" vertical="center"/>
    </xf>
    <xf numFmtId="180" fontId="41" fillId="0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180" fontId="14" fillId="21" borderId="10" xfId="0" applyNumberFormat="1" applyFont="1" applyFill="1" applyBorder="1" applyAlignment="1">
      <alignment horizontal="center" vertical="center"/>
    </xf>
    <xf numFmtId="3" fontId="14" fillId="21" borderId="10" xfId="0" applyNumberFormat="1" applyFont="1" applyFill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169" fontId="14" fillId="21" borderId="11" xfId="0" applyNumberFormat="1" applyFont="1" applyFill="1" applyBorder="1" applyAlignment="1">
      <alignment horizontal="center" vertical="center"/>
    </xf>
    <xf numFmtId="0" fontId="41" fillId="21" borderId="0" xfId="0" applyFont="1" applyFill="1" applyAlignment="1">
      <alignment/>
    </xf>
    <xf numFmtId="180" fontId="41" fillId="21" borderId="0" xfId="0" applyNumberFormat="1" applyFont="1" applyFill="1" applyAlignment="1">
      <alignment/>
    </xf>
    <xf numFmtId="0" fontId="41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1" fontId="41" fillId="0" borderId="11" xfId="0" applyNumberFormat="1" applyFont="1" applyBorder="1" applyAlignment="1">
      <alignment horizontal="center" vertical="center"/>
    </xf>
    <xf numFmtId="1" fontId="14" fillId="21" borderId="11" xfId="0" applyNumberFormat="1" applyFont="1" applyFill="1" applyBorder="1" applyAlignment="1">
      <alignment horizontal="center" vertical="center"/>
    </xf>
    <xf numFmtId="1" fontId="41" fillId="0" borderId="11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right" vertical="center" textRotation="90" wrapText="1"/>
    </xf>
    <xf numFmtId="0" fontId="9" fillId="0" borderId="0" xfId="0" applyFont="1" applyAlignment="1">
      <alignment horizontal="right"/>
    </xf>
    <xf numFmtId="179" fontId="5" fillId="0" borderId="15" xfId="0" applyNumberFormat="1" applyFont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12" fillId="21" borderId="11" xfId="0" applyFont="1" applyFill="1" applyBorder="1" applyAlignment="1">
      <alignment/>
    </xf>
    <xf numFmtId="169" fontId="6" fillId="0" borderId="13" xfId="0" applyNumberFormat="1" applyFont="1" applyFill="1" applyBorder="1" applyAlignment="1">
      <alignment horizontal="center" vertical="center" wrapText="1"/>
    </xf>
    <xf numFmtId="169" fontId="6" fillId="25" borderId="13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/>
    </xf>
    <xf numFmtId="0" fontId="41" fillId="21" borderId="0" xfId="0" applyFont="1" applyFill="1" applyBorder="1" applyAlignment="1">
      <alignment/>
    </xf>
    <xf numFmtId="0" fontId="12" fillId="21" borderId="0" xfId="0" applyFont="1" applyFill="1" applyBorder="1" applyAlignment="1">
      <alignment/>
    </xf>
    <xf numFmtId="0" fontId="9" fillId="21" borderId="0" xfId="0" applyFont="1" applyFill="1" applyBorder="1" applyAlignment="1">
      <alignment/>
    </xf>
    <xf numFmtId="0" fontId="12" fillId="21" borderId="22" xfId="0" applyFont="1" applyFill="1" applyBorder="1" applyAlignment="1">
      <alignment/>
    </xf>
    <xf numFmtId="0" fontId="52" fillId="21" borderId="10" xfId="0" applyFont="1" applyFill="1" applyBorder="1" applyAlignment="1">
      <alignment/>
    </xf>
    <xf numFmtId="0" fontId="52" fillId="21" borderId="13" xfId="0" applyFont="1" applyFill="1" applyBorder="1" applyAlignment="1">
      <alignment/>
    </xf>
    <xf numFmtId="0" fontId="52" fillId="4" borderId="10" xfId="0" applyFont="1" applyFill="1" applyBorder="1" applyAlignment="1">
      <alignment/>
    </xf>
    <xf numFmtId="0" fontId="52" fillId="4" borderId="13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21" xfId="0" applyFont="1" applyBorder="1" applyAlignment="1">
      <alignment horizontal="center" vertical="center" textRotation="90" wrapText="1"/>
    </xf>
    <xf numFmtId="0" fontId="48" fillId="0" borderId="24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7" xfId="0" applyFont="1" applyBorder="1" applyAlignment="1">
      <alignment horizontal="center" vertical="center" textRotation="90" wrapText="1"/>
    </xf>
    <xf numFmtId="0" fontId="48" fillId="0" borderId="2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5" fillId="4" borderId="10" xfId="0" applyNumberFormat="1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9" fillId="4" borderId="10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2" fontId="15" fillId="21" borderId="10" xfId="0" applyNumberFormat="1" applyFont="1" applyFill="1" applyBorder="1" applyAlignment="1">
      <alignment horizontal="center" vertical="center"/>
    </xf>
    <xf numFmtId="2" fontId="15" fillId="21" borderId="12" xfId="0" applyNumberFormat="1" applyFont="1" applyFill="1" applyBorder="1" applyAlignment="1">
      <alignment horizontal="center" vertical="center"/>
    </xf>
    <xf numFmtId="2" fontId="15" fillId="21" borderId="13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5" fillId="21" borderId="10" xfId="0" applyNumberFormat="1" applyFont="1" applyFill="1" applyBorder="1" applyAlignment="1">
      <alignment horizontal="center" vertical="center"/>
    </xf>
    <xf numFmtId="0" fontId="15" fillId="21" borderId="12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  <xf numFmtId="0" fontId="9" fillId="21" borderId="10" xfId="0" applyNumberFormat="1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2" fontId="15" fillId="4" borderId="12" xfId="0" applyNumberFormat="1" applyFont="1" applyFill="1" applyBorder="1" applyAlignment="1">
      <alignment horizontal="center" vertical="center"/>
    </xf>
    <xf numFmtId="2" fontId="15" fillId="4" borderId="13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 wrapText="1"/>
    </xf>
    <xf numFmtId="169" fontId="6" fillId="4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25" borderId="10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1" wrapText="1"/>
    </xf>
    <xf numFmtId="0" fontId="6" fillId="0" borderId="12" xfId="0" applyFont="1" applyBorder="1" applyAlignment="1">
      <alignment horizontal="center" vertical="center" textRotation="1" wrapText="1"/>
    </xf>
    <xf numFmtId="0" fontId="6" fillId="0" borderId="13" xfId="0" applyFont="1" applyBorder="1" applyAlignment="1">
      <alignment horizontal="center" vertical="center" textRotation="1" wrapText="1"/>
    </xf>
    <xf numFmtId="0" fontId="6" fillId="0" borderId="10" xfId="0" applyFont="1" applyBorder="1" applyAlignment="1">
      <alignment horizontal="center" vertical="center" textRotation="3" wrapText="1"/>
    </xf>
    <xf numFmtId="0" fontId="6" fillId="0" borderId="12" xfId="0" applyFont="1" applyBorder="1" applyAlignment="1">
      <alignment horizontal="center" vertical="center" textRotation="3" wrapText="1"/>
    </xf>
    <xf numFmtId="0" fontId="6" fillId="0" borderId="13" xfId="0" applyFont="1" applyBorder="1" applyAlignment="1">
      <alignment horizontal="center" vertical="center" textRotation="3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169" fontId="18" fillId="0" borderId="10" xfId="0" applyNumberFormat="1" applyFont="1" applyBorder="1" applyAlignment="1">
      <alignment horizontal="center" vertical="center"/>
    </xf>
    <xf numFmtId="169" fontId="18" fillId="0" borderId="12" xfId="0" applyNumberFormat="1" applyFont="1" applyBorder="1" applyAlignment="1">
      <alignment horizontal="center" vertical="center"/>
    </xf>
    <xf numFmtId="169" fontId="18" fillId="0" borderId="13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18" fillId="0" borderId="23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1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 vertical="top"/>
    </xf>
    <xf numFmtId="0" fontId="15" fillId="0" borderId="0" xfId="97" applyFont="1" applyAlignment="1">
      <alignment horizontal="left" vertical="top" wrapText="1"/>
      <protection/>
    </xf>
    <xf numFmtId="0" fontId="5" fillId="0" borderId="11" xfId="96" applyFont="1" applyFill="1" applyBorder="1" applyAlignment="1">
      <alignment horizontal="center" vertical="center" wrapText="1"/>
      <protection/>
    </xf>
    <xf numFmtId="0" fontId="14" fillId="0" borderId="0" xfId="96" applyFont="1" applyFill="1" applyAlignment="1">
      <alignment horizontal="center" vertical="top" wrapText="1"/>
      <protection/>
    </xf>
    <xf numFmtId="0" fontId="5" fillId="0" borderId="11" xfId="96" applyNumberFormat="1" applyFont="1" applyFill="1" applyBorder="1" applyAlignment="1">
      <alignment horizontal="center" vertical="center" wrapText="1"/>
      <protection/>
    </xf>
    <xf numFmtId="0" fontId="41" fillId="0" borderId="0" xfId="97" applyFont="1" applyAlignment="1">
      <alignment horizontal="right" vertical="top" wrapText="1"/>
      <protection/>
    </xf>
    <xf numFmtId="0" fontId="53" fillId="0" borderId="0" xfId="96" applyFont="1" applyFill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6" fillId="0" borderId="0" xfId="96" applyFont="1" applyFill="1" applyAlignment="1">
      <alignment horizontal="center" vertical="center"/>
      <protection/>
    </xf>
    <xf numFmtId="0" fontId="41" fillId="0" borderId="0" xfId="97" applyFont="1" applyAlignment="1">
      <alignment horizontal="left" vertical="top" wrapText="1"/>
      <protection/>
    </xf>
    <xf numFmtId="180" fontId="15" fillId="0" borderId="0" xfId="0" applyNumberFormat="1" applyFont="1" applyAlignment="1">
      <alignment/>
    </xf>
    <xf numFmtId="43" fontId="6" fillId="4" borderId="11" xfId="0" applyNumberFormat="1" applyFont="1" applyFill="1" applyBorder="1" applyAlignment="1">
      <alignment horizontal="center" vertical="center" wrapText="1"/>
    </xf>
    <xf numFmtId="43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55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textRotation="90"/>
    </xf>
    <xf numFmtId="4" fontId="6" fillId="4" borderId="11" xfId="106" applyNumberFormat="1" applyFont="1" applyFill="1" applyBorder="1" applyAlignment="1">
      <alignment horizontal="center" vertical="center"/>
    </xf>
    <xf numFmtId="4" fontId="5" fillId="21" borderId="11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4" fontId="6" fillId="21" borderId="11" xfId="0" applyNumberFormat="1" applyFont="1" applyFill="1" applyBorder="1" applyAlignment="1">
      <alignment horizontal="center" vertical="center"/>
    </xf>
    <xf numFmtId="4" fontId="6" fillId="0" borderId="11" xfId="106" applyNumberFormat="1" applyFont="1" applyBorder="1" applyAlignment="1">
      <alignment horizontal="center" vertic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2_2A9A047B" xfId="68"/>
    <cellStyle name="Обычный 2 3" xfId="69"/>
    <cellStyle name="Обычный 2_2A9A047B" xfId="70"/>
    <cellStyle name="Обычный 20" xfId="71"/>
    <cellStyle name="Обычный 21" xfId="72"/>
    <cellStyle name="Обычный 22" xfId="73"/>
    <cellStyle name="Обычный 23" xfId="74"/>
    <cellStyle name="Обычный 24" xfId="75"/>
    <cellStyle name="Обычный 25" xfId="76"/>
    <cellStyle name="Обычный 26" xfId="77"/>
    <cellStyle name="Обычный 27" xfId="78"/>
    <cellStyle name="Обычный 28" xfId="79"/>
    <cellStyle name="Обычный 29" xfId="80"/>
    <cellStyle name="Обычный 3" xfId="81"/>
    <cellStyle name="Обычный 3 2" xfId="82"/>
    <cellStyle name="Обычный 3_607D9273" xfId="83"/>
    <cellStyle name="Обычный 4" xfId="84"/>
    <cellStyle name="Обычный 5" xfId="85"/>
    <cellStyle name="Обычный 53" xfId="86"/>
    <cellStyle name="Обычный 6" xfId="87"/>
    <cellStyle name="Обычный 6 2" xfId="88"/>
    <cellStyle name="Обычный 6 3" xfId="89"/>
    <cellStyle name="Обычный 6 3 2" xfId="90"/>
    <cellStyle name="Обычный 6_2A9A047B" xfId="91"/>
    <cellStyle name="Обычный 7" xfId="92"/>
    <cellStyle name="Обычный 8" xfId="93"/>
    <cellStyle name="Обычный 9" xfId="94"/>
    <cellStyle name="Обычный_minen_114_p1.2" xfId="95"/>
    <cellStyle name="Обычный_Курганэнерго 25.06 RAB (1)" xfId="96"/>
    <cellStyle name="Обычный_мой minenПриложение №1 Приложение 2 неправельно 2 3" xfId="97"/>
    <cellStyle name="Обычный_Отчет по 114 пр. РАБ 2012г.1 квартал 2013 года ЭнергоКурган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7"/>
  <sheetViews>
    <sheetView zoomScale="70" zoomScaleNormal="70" zoomScaleSheetLayoutView="100" workbookViewId="0" topLeftCell="A35">
      <selection activeCell="Q18" sqref="Q18"/>
    </sheetView>
  </sheetViews>
  <sheetFormatPr defaultColWidth="9.00390625" defaultRowHeight="12.75"/>
  <cols>
    <col min="1" max="1" width="7.125" style="3" customWidth="1"/>
    <col min="2" max="2" width="7.125" style="3" hidden="1" customWidth="1"/>
    <col min="3" max="3" width="33.75390625" style="3" customWidth="1"/>
    <col min="4" max="4" width="11.375" style="3" customWidth="1"/>
    <col min="5" max="5" width="13.875" style="84" customWidth="1"/>
    <col min="6" max="6" width="11.25390625" style="3" customWidth="1"/>
    <col min="7" max="7" width="10.25390625" style="3" customWidth="1"/>
    <col min="8" max="8" width="9.625" style="3" bestFit="1" customWidth="1"/>
    <col min="9" max="9" width="10.125" style="3" customWidth="1"/>
    <col min="10" max="10" width="8.25390625" style="3" customWidth="1"/>
    <col min="11" max="11" width="10.25390625" style="3" customWidth="1"/>
    <col min="12" max="12" width="8.375" style="3" customWidth="1"/>
    <col min="13" max="13" width="9.375" style="3" customWidth="1"/>
    <col min="14" max="14" width="7.75390625" style="3" customWidth="1"/>
    <col min="15" max="15" width="9.75390625" style="3" customWidth="1"/>
    <col min="16" max="16" width="10.25390625" style="3" customWidth="1"/>
    <col min="17" max="17" width="9.25390625" style="3" customWidth="1"/>
    <col min="18" max="18" width="12.00390625" style="3" customWidth="1"/>
    <col min="19" max="19" width="11.875" style="22" customWidth="1"/>
    <col min="20" max="20" width="12.625" style="3" customWidth="1"/>
    <col min="21" max="21" width="4.625" style="3" customWidth="1"/>
    <col min="22" max="22" width="9.375" style="3" customWidth="1"/>
    <col min="23" max="23" width="9.25390625" style="3" customWidth="1"/>
    <col min="24" max="24" width="8.25390625" style="3" customWidth="1"/>
    <col min="25" max="25" width="9.875" style="3" customWidth="1"/>
    <col min="26" max="26" width="2.125" style="3" customWidth="1"/>
    <col min="27" max="31" width="0.875" style="3" customWidth="1"/>
    <col min="32" max="32" width="7.875" style="3" customWidth="1"/>
    <col min="33" max="16384" width="0.875" style="3" customWidth="1"/>
  </cols>
  <sheetData>
    <row r="1" spans="23:25" ht="55.5" customHeight="1" hidden="1">
      <c r="W1" s="297" t="s">
        <v>58</v>
      </c>
      <c r="X1" s="298"/>
      <c r="Y1" s="298"/>
    </row>
    <row r="2" spans="21:25" ht="26.25" customHeight="1">
      <c r="U2" s="276" t="s">
        <v>133</v>
      </c>
      <c r="V2" s="277"/>
      <c r="W2" s="277"/>
      <c r="X2" s="277"/>
      <c r="Y2" s="277"/>
    </row>
    <row r="3" spans="1:25" s="2" customFormat="1" ht="23.25" customHeight="1">
      <c r="A3" s="275" t="s">
        <v>242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</row>
    <row r="4" spans="1:25" s="2" customFormat="1" ht="23.25" customHeight="1">
      <c r="A4" s="275" t="s">
        <v>59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</row>
    <row r="5" spans="3:25" s="4" customFormat="1" ht="25.5" customHeight="1">
      <c r="C5" s="22"/>
      <c r="D5" s="22"/>
      <c r="E5" s="84"/>
      <c r="S5" s="22"/>
      <c r="T5" s="283" t="s">
        <v>57</v>
      </c>
      <c r="U5" s="267"/>
      <c r="V5" s="267"/>
      <c r="W5" s="267"/>
      <c r="X5" s="267"/>
      <c r="Y5" s="267"/>
    </row>
    <row r="6" spans="5:25" s="4" customFormat="1" ht="20.25" customHeight="1">
      <c r="E6" s="84"/>
      <c r="S6" s="22"/>
      <c r="T6" s="283" t="s">
        <v>103</v>
      </c>
      <c r="U6" s="267"/>
      <c r="V6" s="267"/>
      <c r="W6" s="267"/>
      <c r="X6" s="267"/>
      <c r="Y6" s="267"/>
    </row>
    <row r="7" spans="5:25" s="4" customFormat="1" ht="11.25" customHeight="1">
      <c r="E7" s="84"/>
      <c r="S7" s="22"/>
      <c r="W7" s="28"/>
      <c r="X7" s="23"/>
      <c r="Y7" s="23"/>
    </row>
    <row r="8" spans="3:25" s="4" customFormat="1" ht="21.75" customHeight="1">
      <c r="C8" s="612"/>
      <c r="D8" s="22"/>
      <c r="E8" s="143"/>
      <c r="S8" s="22"/>
      <c r="T8" s="437" t="s">
        <v>131</v>
      </c>
      <c r="U8" s="438"/>
      <c r="V8" s="438"/>
      <c r="W8" s="438"/>
      <c r="X8" s="438"/>
      <c r="Y8" s="438"/>
    </row>
    <row r="9" spans="3:25" s="4" customFormat="1" ht="22.5" customHeight="1">
      <c r="C9" s="612"/>
      <c r="D9" s="22"/>
      <c r="E9" s="84"/>
      <c r="S9" s="22"/>
      <c r="T9" s="437" t="s">
        <v>175</v>
      </c>
      <c r="U9" s="267"/>
      <c r="V9" s="267"/>
      <c r="W9" s="267"/>
      <c r="X9" s="267"/>
      <c r="Y9" s="267"/>
    </row>
    <row r="11" spans="1:25" ht="33.75" customHeight="1">
      <c r="A11" s="305" t="s">
        <v>97</v>
      </c>
      <c r="B11" s="305" t="s">
        <v>140</v>
      </c>
      <c r="C11" s="305" t="s">
        <v>96</v>
      </c>
      <c r="D11" s="278" t="s">
        <v>0</v>
      </c>
      <c r="E11" s="432" t="s">
        <v>1</v>
      </c>
      <c r="F11" s="433"/>
      <c r="G11" s="433"/>
      <c r="H11" s="433"/>
      <c r="I11" s="433"/>
      <c r="J11" s="433"/>
      <c r="K11" s="433"/>
      <c r="L11" s="433"/>
      <c r="M11" s="433"/>
      <c r="N11" s="433"/>
      <c r="O11" s="308" t="s">
        <v>2</v>
      </c>
      <c r="P11" s="281"/>
      <c r="Q11" s="308" t="s">
        <v>3</v>
      </c>
      <c r="R11" s="281"/>
      <c r="S11" s="278" t="s">
        <v>4</v>
      </c>
      <c r="T11" s="432" t="s">
        <v>5</v>
      </c>
      <c r="U11" s="433"/>
      <c r="V11" s="433"/>
      <c r="W11" s="433"/>
      <c r="X11" s="434" t="s">
        <v>98</v>
      </c>
      <c r="Y11" s="435"/>
    </row>
    <row r="12" spans="1:25" ht="30.75" customHeight="1">
      <c r="A12" s="306"/>
      <c r="B12" s="306"/>
      <c r="C12" s="306"/>
      <c r="D12" s="279"/>
      <c r="E12" s="432" t="s">
        <v>6</v>
      </c>
      <c r="F12" s="433"/>
      <c r="G12" s="432" t="s">
        <v>7</v>
      </c>
      <c r="H12" s="433"/>
      <c r="I12" s="432" t="s">
        <v>8</v>
      </c>
      <c r="J12" s="433"/>
      <c r="K12" s="432" t="s">
        <v>9</v>
      </c>
      <c r="L12" s="433"/>
      <c r="M12" s="432" t="s">
        <v>10</v>
      </c>
      <c r="N12" s="433"/>
      <c r="O12" s="310"/>
      <c r="P12" s="282"/>
      <c r="Q12" s="310"/>
      <c r="R12" s="282"/>
      <c r="S12" s="279"/>
      <c r="T12" s="434" t="s">
        <v>11</v>
      </c>
      <c r="U12" s="434" t="s">
        <v>12</v>
      </c>
      <c r="V12" s="304" t="s">
        <v>13</v>
      </c>
      <c r="W12" s="296"/>
      <c r="X12" s="436"/>
      <c r="Y12" s="412"/>
    </row>
    <row r="13" spans="1:25" ht="140.25" customHeight="1">
      <c r="A13" s="307"/>
      <c r="B13" s="307"/>
      <c r="C13" s="307"/>
      <c r="D13" s="280"/>
      <c r="E13" s="67" t="s">
        <v>14</v>
      </c>
      <c r="F13" s="67" t="s">
        <v>15</v>
      </c>
      <c r="G13" s="25" t="s">
        <v>16</v>
      </c>
      <c r="H13" s="25" t="s">
        <v>17</v>
      </c>
      <c r="I13" s="25" t="s">
        <v>16</v>
      </c>
      <c r="J13" s="25" t="s">
        <v>17</v>
      </c>
      <c r="K13" s="25" t="s">
        <v>16</v>
      </c>
      <c r="L13" s="25" t="s">
        <v>17</v>
      </c>
      <c r="M13" s="25" t="s">
        <v>16</v>
      </c>
      <c r="N13" s="25" t="s">
        <v>17</v>
      </c>
      <c r="O13" s="25" t="s">
        <v>6</v>
      </c>
      <c r="P13" s="383" t="s">
        <v>224</v>
      </c>
      <c r="Q13" s="25" t="s">
        <v>6</v>
      </c>
      <c r="R13" s="383" t="s">
        <v>225</v>
      </c>
      <c r="S13" s="280"/>
      <c r="T13" s="413"/>
      <c r="U13" s="413"/>
      <c r="V13" s="30" t="s">
        <v>18</v>
      </c>
      <c r="W13" s="30" t="s">
        <v>19</v>
      </c>
      <c r="X13" s="413"/>
      <c r="Y13" s="414"/>
    </row>
    <row r="14" spans="1:25" s="22" customFormat="1" ht="21.75" customHeight="1" hidden="1">
      <c r="A14" s="60">
        <v>1</v>
      </c>
      <c r="B14" s="60"/>
      <c r="C14" s="60">
        <v>2</v>
      </c>
      <c r="D14" s="61">
        <v>3</v>
      </c>
      <c r="E14" s="62">
        <v>4</v>
      </c>
      <c r="F14" s="62">
        <v>5</v>
      </c>
      <c r="G14" s="26">
        <v>6</v>
      </c>
      <c r="H14" s="26">
        <v>7</v>
      </c>
      <c r="I14" s="26">
        <v>8</v>
      </c>
      <c r="J14" s="26">
        <v>9</v>
      </c>
      <c r="K14" s="26">
        <v>10</v>
      </c>
      <c r="L14" s="26">
        <v>11</v>
      </c>
      <c r="M14" s="26">
        <v>12</v>
      </c>
      <c r="N14" s="26">
        <v>13</v>
      </c>
      <c r="O14" s="26">
        <v>14</v>
      </c>
      <c r="P14" s="63">
        <v>15</v>
      </c>
      <c r="Q14" s="26">
        <v>16</v>
      </c>
      <c r="R14" s="63">
        <v>17</v>
      </c>
      <c r="S14" s="61">
        <v>18</v>
      </c>
      <c r="T14" s="61">
        <v>19</v>
      </c>
      <c r="U14" s="61">
        <v>20</v>
      </c>
      <c r="V14" s="63">
        <v>21</v>
      </c>
      <c r="W14" s="63">
        <v>22</v>
      </c>
      <c r="X14" s="302">
        <v>23</v>
      </c>
      <c r="Y14" s="303"/>
    </row>
    <row r="15" spans="1:32" s="268" customFormat="1" ht="25.5" customHeight="1">
      <c r="A15" s="351"/>
      <c r="B15" s="351"/>
      <c r="C15" s="79" t="s">
        <v>53</v>
      </c>
      <c r="D15" s="334"/>
      <c r="E15" s="78">
        <f>E18+E19</f>
        <v>39.177762898523994</v>
      </c>
      <c r="F15" s="78">
        <f>F18+F19</f>
        <v>8.26148562</v>
      </c>
      <c r="G15" s="78">
        <f aca="true" t="shared" si="0" ref="G15:L15">G18+G19</f>
        <v>3.01355315626</v>
      </c>
      <c r="H15" s="78">
        <f t="shared" si="0"/>
        <v>2.23709592</v>
      </c>
      <c r="I15" s="78">
        <f t="shared" si="0"/>
        <v>10.794649133199998</v>
      </c>
      <c r="J15" s="78">
        <f t="shared" si="0"/>
        <v>6.0243896999999995</v>
      </c>
      <c r="K15" s="78">
        <f t="shared" si="0"/>
        <v>16.341971674839996</v>
      </c>
      <c r="L15" s="352">
        <f t="shared" si="0"/>
        <v>0</v>
      </c>
      <c r="M15" s="78">
        <f>M19+M18</f>
        <v>9.027354527223999</v>
      </c>
      <c r="N15" s="352">
        <f>N18+N19</f>
        <v>0</v>
      </c>
      <c r="O15" s="78">
        <f>O18+O19</f>
        <v>8.26148562</v>
      </c>
      <c r="P15" s="78">
        <f>P18+P19</f>
        <v>6.0243896999999995</v>
      </c>
      <c r="Q15" s="352">
        <f>SUM(Q21:Q56)</f>
        <v>0</v>
      </c>
      <c r="R15" s="352">
        <f>SUM(R21:R56)</f>
        <v>0</v>
      </c>
      <c r="S15" s="78">
        <f>S18+S19</f>
        <v>30.916277278524</v>
      </c>
      <c r="T15" s="78">
        <f>T18+T19</f>
        <v>30.915772278523995</v>
      </c>
      <c r="U15" s="334"/>
      <c r="V15" s="78"/>
      <c r="W15" s="334"/>
      <c r="X15" s="311"/>
      <c r="Y15" s="312"/>
      <c r="AF15" s="269"/>
    </row>
    <row r="16" spans="1:25" ht="33.75" customHeight="1">
      <c r="A16" s="353" t="s">
        <v>20</v>
      </c>
      <c r="B16" s="353"/>
      <c r="C16" s="71" t="s">
        <v>21</v>
      </c>
      <c r="D16" s="331"/>
      <c r="E16" s="78"/>
      <c r="F16" s="78"/>
      <c r="G16" s="78"/>
      <c r="H16" s="78"/>
      <c r="I16" s="78"/>
      <c r="J16" s="78"/>
      <c r="K16" s="78"/>
      <c r="L16" s="78"/>
      <c r="M16" s="78"/>
      <c r="N16" s="352"/>
      <c r="O16" s="78"/>
      <c r="P16" s="334"/>
      <c r="Q16" s="334"/>
      <c r="R16" s="78"/>
      <c r="S16" s="354"/>
      <c r="T16" s="354"/>
      <c r="U16" s="334"/>
      <c r="V16" s="78"/>
      <c r="W16" s="334"/>
      <c r="X16" s="299"/>
      <c r="Y16" s="300"/>
    </row>
    <row r="17" spans="1:74" s="5" customFormat="1" ht="20.25">
      <c r="A17" s="355" t="s">
        <v>23</v>
      </c>
      <c r="B17" s="355"/>
      <c r="C17" s="79" t="s">
        <v>24</v>
      </c>
      <c r="D17" s="78"/>
      <c r="E17" s="334"/>
      <c r="F17" s="334"/>
      <c r="G17" s="334"/>
      <c r="H17" s="334"/>
      <c r="I17" s="334"/>
      <c r="J17" s="334"/>
      <c r="K17" s="334"/>
      <c r="L17" s="352"/>
      <c r="M17" s="334"/>
      <c r="N17" s="352"/>
      <c r="O17" s="334"/>
      <c r="P17" s="334"/>
      <c r="Q17" s="334"/>
      <c r="R17" s="78"/>
      <c r="S17" s="354"/>
      <c r="T17" s="354"/>
      <c r="U17" s="334"/>
      <c r="V17" s="334"/>
      <c r="W17" s="334"/>
      <c r="X17" s="299"/>
      <c r="Y17" s="300"/>
      <c r="BU17" s="301"/>
      <c r="BV17" s="301"/>
    </row>
    <row r="18" spans="1:74" s="5" customFormat="1" ht="37.5">
      <c r="A18" s="355"/>
      <c r="B18" s="356"/>
      <c r="C18" s="137" t="s">
        <v>165</v>
      </c>
      <c r="D18" s="357"/>
      <c r="E18" s="78">
        <f aca="true" t="shared" si="1" ref="E18:P18">E21+E22+E23+E24+E44+E51</f>
        <v>22.41999882</v>
      </c>
      <c r="F18" s="78">
        <f t="shared" si="1"/>
        <v>1.22693568</v>
      </c>
      <c r="G18" s="78">
        <f t="shared" si="1"/>
        <v>1.2567</v>
      </c>
      <c r="H18" s="78">
        <f t="shared" si="1"/>
        <v>0.26638854</v>
      </c>
      <c r="I18" s="78">
        <f t="shared" si="1"/>
        <v>9.413328459999999</v>
      </c>
      <c r="J18" s="78">
        <f t="shared" si="1"/>
        <v>0.96054714</v>
      </c>
      <c r="K18" s="78">
        <f t="shared" si="1"/>
        <v>7.415391399999999</v>
      </c>
      <c r="L18" s="352">
        <f t="shared" si="1"/>
        <v>0</v>
      </c>
      <c r="M18" s="78">
        <f t="shared" si="1"/>
        <v>4.33457896</v>
      </c>
      <c r="N18" s="352">
        <f t="shared" si="1"/>
        <v>0</v>
      </c>
      <c r="O18" s="78">
        <f t="shared" si="1"/>
        <v>1.22693568</v>
      </c>
      <c r="P18" s="78">
        <f t="shared" si="1"/>
        <v>0.96054714</v>
      </c>
      <c r="Q18" s="334"/>
      <c r="R18" s="334"/>
      <c r="S18" s="78">
        <f>S21+S22+S23+S24+S44+S51</f>
        <v>21.19306314</v>
      </c>
      <c r="T18" s="78">
        <f>T21+T22+T23+T24+T44+T51</f>
        <v>21.19306314</v>
      </c>
      <c r="U18" s="334"/>
      <c r="V18" s="334"/>
      <c r="W18" s="334"/>
      <c r="X18" s="299"/>
      <c r="Y18" s="300"/>
      <c r="BU18" s="136"/>
      <c r="BV18" s="136"/>
    </row>
    <row r="19" spans="1:74" s="250" customFormat="1" ht="27.75" customHeight="1">
      <c r="A19" s="358"/>
      <c r="B19" s="359"/>
      <c r="C19" s="249" t="s">
        <v>166</v>
      </c>
      <c r="D19" s="360"/>
      <c r="E19" s="360">
        <f>E26+E28+E30+E34+E42+E46+E49+E53+E56</f>
        <v>16.757764078523998</v>
      </c>
      <c r="F19" s="360">
        <f>F26+F28+F30+F32+F34+F40+F42+F46+F49+F53+F56</f>
        <v>7.03454994</v>
      </c>
      <c r="G19" s="360">
        <f>G26+G28+G30+G34+G42+G46+G49+G53+G56</f>
        <v>1.75685315626</v>
      </c>
      <c r="H19" s="360">
        <f>H26+H28+H30+H34+H40+H42+H46+H49+H53+H56</f>
        <v>1.97070738</v>
      </c>
      <c r="I19" s="360">
        <f>I26+I28+I30+I32+I34+I40+I42+I46+I49+I53+I56</f>
        <v>1.3813206731999998</v>
      </c>
      <c r="J19" s="360">
        <f>J26+J28+J30+J32+J34+J40+J42+J46+J49+J53+J56</f>
        <v>5.063842559999999</v>
      </c>
      <c r="K19" s="360">
        <f>K26+K28+K30+K34+K42+K46+K49+K53+K56</f>
        <v>8.92658027484</v>
      </c>
      <c r="L19" s="361">
        <f>L26+L28+L30+L34+L42+L46+L49+L53+L56</f>
        <v>0</v>
      </c>
      <c r="M19" s="360">
        <f>M26+M28+M30+M34+M42+M46+M49+M53+M56</f>
        <v>4.6927755672239995</v>
      </c>
      <c r="N19" s="361">
        <f>N26+N28+N30+N34+N42+N46+N49+N53+N56</f>
        <v>0</v>
      </c>
      <c r="O19" s="360">
        <f>O26+O28+O30+O32+O34+O40+O42+O46+O49+O53+O56</f>
        <v>7.03454994</v>
      </c>
      <c r="P19" s="360">
        <f>P26+P28+P30+P32+P34+P40+P42+P46+P49+P53+P56</f>
        <v>5.063842559999999</v>
      </c>
      <c r="Q19" s="346"/>
      <c r="R19" s="362"/>
      <c r="S19" s="360">
        <f>S25+S27+S29+S31+S33+S39+S41+S45+S48+S52+S55</f>
        <v>9.723214138523998</v>
      </c>
      <c r="T19" s="360">
        <f>T25+T27+T29+T31+T33+T39+T41+T45+T48+T52+T55</f>
        <v>9.722709138523998</v>
      </c>
      <c r="U19" s="346"/>
      <c r="V19" s="346"/>
      <c r="W19" s="346"/>
      <c r="X19" s="430"/>
      <c r="Y19" s="431"/>
      <c r="BU19" s="251"/>
      <c r="BV19" s="251"/>
    </row>
    <row r="20" spans="1:25" ht="28.5" customHeight="1">
      <c r="A20" s="363"/>
      <c r="B20" s="363"/>
      <c r="C20" s="79" t="s">
        <v>108</v>
      </c>
      <c r="D20" s="78"/>
      <c r="E20" s="334"/>
      <c r="F20" s="334"/>
      <c r="G20" s="78"/>
      <c r="H20" s="334"/>
      <c r="I20" s="78"/>
      <c r="J20" s="334"/>
      <c r="K20" s="78"/>
      <c r="L20" s="334"/>
      <c r="M20" s="78"/>
      <c r="N20" s="334"/>
      <c r="O20" s="334"/>
      <c r="P20" s="78"/>
      <c r="Q20" s="334"/>
      <c r="R20" s="334"/>
      <c r="S20" s="354"/>
      <c r="T20" s="354"/>
      <c r="U20" s="334"/>
      <c r="V20" s="334"/>
      <c r="W20" s="334"/>
      <c r="X20" s="299"/>
      <c r="Y20" s="300"/>
    </row>
    <row r="21" spans="1:32" ht="42" customHeight="1">
      <c r="A21" s="364" t="s">
        <v>20</v>
      </c>
      <c r="B21" s="365" t="s">
        <v>111</v>
      </c>
      <c r="C21" s="377" t="s">
        <v>149</v>
      </c>
      <c r="D21" s="366"/>
      <c r="E21" s="350">
        <f>1006272/1000000*1.18</f>
        <v>1.18740096</v>
      </c>
      <c r="F21" s="77">
        <f>H21+J21+L21+N21</f>
        <v>0</v>
      </c>
      <c r="G21" s="75"/>
      <c r="H21" s="334"/>
      <c r="I21" s="331">
        <f>E21</f>
        <v>1.18740096</v>
      </c>
      <c r="J21" s="331"/>
      <c r="K21" s="331"/>
      <c r="L21" s="77"/>
      <c r="M21" s="367"/>
      <c r="N21" s="334"/>
      <c r="O21" s="77">
        <f>H21+J21+L21+N21</f>
        <v>0</v>
      </c>
      <c r="P21" s="77"/>
      <c r="Q21" s="334"/>
      <c r="R21" s="75"/>
      <c r="S21" s="333">
        <f>E21-F21</f>
        <v>1.18740096</v>
      </c>
      <c r="T21" s="333">
        <f aca="true" t="shared" si="2" ref="T21:T26">E21-F21</f>
        <v>1.18740096</v>
      </c>
      <c r="U21" s="334"/>
      <c r="V21" s="334"/>
      <c r="W21" s="334"/>
      <c r="X21" s="299"/>
      <c r="Y21" s="300"/>
      <c r="AF21" s="92"/>
    </row>
    <row r="22" spans="1:32" ht="44.25" customHeight="1">
      <c r="A22" s="365" t="s">
        <v>23</v>
      </c>
      <c r="B22" s="365" t="s">
        <v>112</v>
      </c>
      <c r="C22" s="377" t="s">
        <v>150</v>
      </c>
      <c r="D22" s="329"/>
      <c r="E22" s="330">
        <f>920125/1000000*1.18</f>
        <v>1.0857474999999999</v>
      </c>
      <c r="F22" s="77">
        <f>H22+J22+L22+N22</f>
        <v>0</v>
      </c>
      <c r="G22" s="75"/>
      <c r="H22" s="334"/>
      <c r="I22" s="331">
        <f>E22</f>
        <v>1.0857474999999999</v>
      </c>
      <c r="J22" s="331"/>
      <c r="K22" s="331"/>
      <c r="L22" s="77"/>
      <c r="M22" s="367"/>
      <c r="N22" s="334"/>
      <c r="O22" s="77">
        <f>H22+J22+L22+N22</f>
        <v>0</v>
      </c>
      <c r="P22" s="77"/>
      <c r="Q22" s="334"/>
      <c r="R22" s="75"/>
      <c r="S22" s="333">
        <f>E22-F22</f>
        <v>1.0857474999999999</v>
      </c>
      <c r="T22" s="333">
        <f t="shared" si="2"/>
        <v>1.0857474999999999</v>
      </c>
      <c r="U22" s="334"/>
      <c r="V22" s="334"/>
      <c r="W22" s="334"/>
      <c r="X22" s="299"/>
      <c r="Y22" s="300"/>
      <c r="AF22" s="92"/>
    </row>
    <row r="23" spans="1:32" ht="38.25" customHeight="1">
      <c r="A23" s="368" t="s">
        <v>109</v>
      </c>
      <c r="B23" s="365" t="s">
        <v>141</v>
      </c>
      <c r="C23" s="377" t="s">
        <v>151</v>
      </c>
      <c r="D23" s="329"/>
      <c r="E23" s="350">
        <f>532986/1000000*1.18</f>
        <v>0.6289234799999999</v>
      </c>
      <c r="F23" s="77">
        <f>H23+J23+L23+N23</f>
        <v>0</v>
      </c>
      <c r="G23" s="75"/>
      <c r="H23" s="334"/>
      <c r="I23" s="331"/>
      <c r="J23" s="369"/>
      <c r="K23" s="331">
        <f>E23</f>
        <v>0.6289234799999999</v>
      </c>
      <c r="L23" s="77"/>
      <c r="M23" s="367"/>
      <c r="N23" s="334"/>
      <c r="O23" s="77">
        <f>H23+J23+L23+N23</f>
        <v>0</v>
      </c>
      <c r="P23" s="77"/>
      <c r="Q23" s="334"/>
      <c r="R23" s="75"/>
      <c r="S23" s="333">
        <f>E23-F23</f>
        <v>0.6289234799999999</v>
      </c>
      <c r="T23" s="333">
        <f t="shared" si="2"/>
        <v>0.6289234799999999</v>
      </c>
      <c r="U23" s="334"/>
      <c r="V23" s="334"/>
      <c r="W23" s="334"/>
      <c r="X23" s="299"/>
      <c r="Y23" s="300"/>
      <c r="AF23" s="92"/>
    </row>
    <row r="24" spans="1:32" ht="41.25" customHeight="1">
      <c r="A24" s="368" t="s">
        <v>113</v>
      </c>
      <c r="B24" s="364" t="s">
        <v>117</v>
      </c>
      <c r="C24" s="377" t="s">
        <v>152</v>
      </c>
      <c r="D24" s="329"/>
      <c r="E24" s="370">
        <f>2454244/1000000*1.18</f>
        <v>2.8960079199999997</v>
      </c>
      <c r="F24" s="77">
        <f>H24+J24+L24+N24</f>
        <v>0</v>
      </c>
      <c r="G24" s="334"/>
      <c r="H24" s="334"/>
      <c r="I24" s="369"/>
      <c r="J24" s="331"/>
      <c r="K24" s="331">
        <f>E24</f>
        <v>2.8960079199999997</v>
      </c>
      <c r="L24" s="334"/>
      <c r="M24" s="367"/>
      <c r="N24" s="334"/>
      <c r="O24" s="77">
        <f>H24+J24+L24+N24</f>
        <v>0</v>
      </c>
      <c r="P24" s="334"/>
      <c r="Q24" s="334"/>
      <c r="R24" s="334"/>
      <c r="S24" s="333">
        <f>E24-F24</f>
        <v>2.8960079199999997</v>
      </c>
      <c r="T24" s="333">
        <f t="shared" si="2"/>
        <v>2.8960079199999997</v>
      </c>
      <c r="U24" s="334"/>
      <c r="V24" s="334"/>
      <c r="W24" s="334"/>
      <c r="X24" s="299"/>
      <c r="Y24" s="300"/>
      <c r="AF24" s="92"/>
    </row>
    <row r="25" spans="1:32" ht="27" customHeight="1">
      <c r="A25" s="371" t="s">
        <v>115</v>
      </c>
      <c r="B25" s="372" t="s">
        <v>142</v>
      </c>
      <c r="C25" s="378" t="s">
        <v>164</v>
      </c>
      <c r="D25" s="335"/>
      <c r="E25" s="155">
        <f>326230.92/1000000*1.18</f>
        <v>0.38495248559999995</v>
      </c>
      <c r="F25" s="340">
        <f>H25+J25+L25+N25</f>
        <v>0</v>
      </c>
      <c r="G25" s="338"/>
      <c r="H25" s="348"/>
      <c r="I25" s="339"/>
      <c r="J25" s="340"/>
      <c r="K25" s="347">
        <f>E25</f>
        <v>0.38495248559999995</v>
      </c>
      <c r="L25" s="340"/>
      <c r="M25" s="341"/>
      <c r="N25" s="346"/>
      <c r="O25" s="340">
        <f>H25+J25+L25+N25</f>
        <v>0</v>
      </c>
      <c r="P25" s="340"/>
      <c r="Q25" s="346"/>
      <c r="R25" s="348"/>
      <c r="S25" s="349">
        <f>E25-F25</f>
        <v>0.38495248559999995</v>
      </c>
      <c r="T25" s="347">
        <f t="shared" si="2"/>
        <v>0.38495248559999995</v>
      </c>
      <c r="U25" s="346"/>
      <c r="V25" s="346"/>
      <c r="W25" s="346"/>
      <c r="X25" s="430"/>
      <c r="Y25" s="431"/>
      <c r="AF25" s="92"/>
    </row>
    <row r="26" spans="1:32" ht="19.5" customHeight="1">
      <c r="A26" s="371"/>
      <c r="B26" s="372"/>
      <c r="C26" s="378" t="s">
        <v>153</v>
      </c>
      <c r="D26" s="335"/>
      <c r="E26" s="155">
        <f>E25</f>
        <v>0.38495248559999995</v>
      </c>
      <c r="F26" s="340">
        <f>F25</f>
        <v>0</v>
      </c>
      <c r="G26" s="338"/>
      <c r="H26" s="348"/>
      <c r="I26" s="339"/>
      <c r="J26" s="340"/>
      <c r="K26" s="347">
        <f>E26</f>
        <v>0.38495248559999995</v>
      </c>
      <c r="L26" s="340"/>
      <c r="M26" s="341"/>
      <c r="N26" s="346"/>
      <c r="O26" s="340">
        <f aca="true" t="shared" si="3" ref="O26:O42">H26+J26+L26+N26</f>
        <v>0</v>
      </c>
      <c r="P26" s="340"/>
      <c r="Q26" s="346"/>
      <c r="R26" s="348"/>
      <c r="S26" s="349">
        <f>E26-H26-J26-L26-N26</f>
        <v>0.38495248559999995</v>
      </c>
      <c r="T26" s="347">
        <f t="shared" si="2"/>
        <v>0.38495248559999995</v>
      </c>
      <c r="U26" s="346"/>
      <c r="V26" s="346"/>
      <c r="W26" s="346"/>
      <c r="X26" s="430"/>
      <c r="Y26" s="431"/>
      <c r="AF26" s="92"/>
    </row>
    <row r="27" spans="1:32" ht="31.5" customHeight="1">
      <c r="A27" s="371" t="s">
        <v>117</v>
      </c>
      <c r="B27" s="372" t="s">
        <v>143</v>
      </c>
      <c r="C27" s="379" t="s">
        <v>144</v>
      </c>
      <c r="D27" s="335"/>
      <c r="E27" s="155">
        <f>751360.15/1000000*1.18</f>
        <v>0.886604977</v>
      </c>
      <c r="F27" s="340">
        <f>H27+J27+L27+N27</f>
        <v>0</v>
      </c>
      <c r="G27" s="338"/>
      <c r="H27" s="348"/>
      <c r="I27" s="155">
        <f>0.751*1.18</f>
        <v>0.88618</v>
      </c>
      <c r="J27" s="337"/>
      <c r="K27" s="339"/>
      <c r="L27" s="340"/>
      <c r="M27" s="341"/>
      <c r="N27" s="346"/>
      <c r="O27" s="340">
        <f t="shared" si="3"/>
        <v>0</v>
      </c>
      <c r="P27" s="340"/>
      <c r="Q27" s="346"/>
      <c r="R27" s="348"/>
      <c r="S27" s="349">
        <f>E27-F27</f>
        <v>0.886604977</v>
      </c>
      <c r="T27" s="347">
        <f aca="true" t="shared" si="4" ref="T27:T39">E27-F27</f>
        <v>0.886604977</v>
      </c>
      <c r="U27" s="346"/>
      <c r="V27" s="346"/>
      <c r="W27" s="346"/>
      <c r="X27" s="430"/>
      <c r="Y27" s="431"/>
      <c r="AF27" s="92"/>
    </row>
    <row r="28" spans="1:32" ht="19.5" customHeight="1">
      <c r="A28" s="371"/>
      <c r="B28" s="372"/>
      <c r="C28" s="378" t="s">
        <v>153</v>
      </c>
      <c r="D28" s="335"/>
      <c r="E28" s="155">
        <f>E27</f>
        <v>0.886604977</v>
      </c>
      <c r="F28" s="340">
        <f>F27</f>
        <v>0</v>
      </c>
      <c r="G28" s="338"/>
      <c r="H28" s="348"/>
      <c r="I28" s="155">
        <f>I27</f>
        <v>0.88618</v>
      </c>
      <c r="J28" s="340"/>
      <c r="K28" s="339"/>
      <c r="L28" s="340"/>
      <c r="M28" s="341"/>
      <c r="N28" s="346"/>
      <c r="O28" s="340">
        <f t="shared" si="3"/>
        <v>0</v>
      </c>
      <c r="P28" s="340"/>
      <c r="Q28" s="346"/>
      <c r="R28" s="348"/>
      <c r="S28" s="347">
        <f>E28-H28-J28-L28-N28</f>
        <v>0.886604977</v>
      </c>
      <c r="T28" s="347">
        <f t="shared" si="4"/>
        <v>0.886604977</v>
      </c>
      <c r="U28" s="346"/>
      <c r="V28" s="346"/>
      <c r="W28" s="346"/>
      <c r="X28" s="430"/>
      <c r="Y28" s="431"/>
      <c r="AF28" s="92"/>
    </row>
    <row r="29" spans="1:32" ht="25.5" customHeight="1">
      <c r="A29" s="371" t="s">
        <v>167</v>
      </c>
      <c r="B29" s="372" t="s">
        <v>145</v>
      </c>
      <c r="C29" s="379" t="s">
        <v>154</v>
      </c>
      <c r="D29" s="335"/>
      <c r="E29" s="155">
        <f>419610.74/1000000*1.18</f>
        <v>0.49514067319999994</v>
      </c>
      <c r="F29" s="340">
        <f>H29+J29+L29+N29</f>
        <v>0</v>
      </c>
      <c r="G29" s="338"/>
      <c r="H29" s="348"/>
      <c r="I29" s="155">
        <f>E29</f>
        <v>0.49514067319999994</v>
      </c>
      <c r="J29" s="337"/>
      <c r="K29" s="339"/>
      <c r="L29" s="340"/>
      <c r="M29" s="341"/>
      <c r="N29" s="346"/>
      <c r="O29" s="340">
        <f t="shared" si="3"/>
        <v>0</v>
      </c>
      <c r="P29" s="340"/>
      <c r="Q29" s="346"/>
      <c r="R29" s="348"/>
      <c r="S29" s="349">
        <f>E29-F29</f>
        <v>0.49514067319999994</v>
      </c>
      <c r="T29" s="347">
        <f t="shared" si="4"/>
        <v>0.49514067319999994</v>
      </c>
      <c r="U29" s="346"/>
      <c r="V29" s="346"/>
      <c r="W29" s="346"/>
      <c r="X29" s="430"/>
      <c r="Y29" s="431"/>
      <c r="AF29" s="92"/>
    </row>
    <row r="30" spans="1:32" ht="19.5" customHeight="1">
      <c r="A30" s="371"/>
      <c r="B30" s="372"/>
      <c r="C30" s="378" t="s">
        <v>153</v>
      </c>
      <c r="D30" s="335"/>
      <c r="E30" s="155">
        <f>E29</f>
        <v>0.49514067319999994</v>
      </c>
      <c r="F30" s="340">
        <f>F29</f>
        <v>0</v>
      </c>
      <c r="G30" s="338"/>
      <c r="H30" s="348"/>
      <c r="I30" s="155">
        <f>I29</f>
        <v>0.49514067319999994</v>
      </c>
      <c r="J30" s="340"/>
      <c r="K30" s="339"/>
      <c r="L30" s="340"/>
      <c r="M30" s="341"/>
      <c r="N30" s="346"/>
      <c r="O30" s="340">
        <f t="shared" si="3"/>
        <v>0</v>
      </c>
      <c r="P30" s="340"/>
      <c r="Q30" s="346"/>
      <c r="R30" s="348"/>
      <c r="S30" s="347">
        <f>E30-H30-J30-L30-N30</f>
        <v>0.49514067319999994</v>
      </c>
      <c r="T30" s="347">
        <f t="shared" si="4"/>
        <v>0.49514067319999994</v>
      </c>
      <c r="U30" s="346"/>
      <c r="V30" s="346"/>
      <c r="W30" s="346"/>
      <c r="X30" s="430"/>
      <c r="Y30" s="431"/>
      <c r="AF30" s="92"/>
    </row>
    <row r="31" spans="1:32" ht="28.5" customHeight="1">
      <c r="A31" s="371" t="s">
        <v>217</v>
      </c>
      <c r="B31" s="372" t="s">
        <v>146</v>
      </c>
      <c r="C31" s="379" t="s">
        <v>216</v>
      </c>
      <c r="D31" s="335"/>
      <c r="E31" s="155">
        <v>0</v>
      </c>
      <c r="F31" s="337">
        <f>H31+J31+L31+N31</f>
        <v>0.41199581999999996</v>
      </c>
      <c r="G31" s="373"/>
      <c r="H31" s="337"/>
      <c r="I31" s="339"/>
      <c r="J31" s="337">
        <f>(224717+124432)/1000000*1.18</f>
        <v>0.41199581999999996</v>
      </c>
      <c r="K31" s="339"/>
      <c r="L31" s="340"/>
      <c r="M31" s="341"/>
      <c r="N31" s="346"/>
      <c r="O31" s="347">
        <f>H31+J31+L31+N31</f>
        <v>0.41199581999999996</v>
      </c>
      <c r="P31" s="347">
        <f>J31</f>
        <v>0.41199581999999996</v>
      </c>
      <c r="Q31" s="346"/>
      <c r="R31" s="348"/>
      <c r="S31" s="349">
        <f>E31-F31</f>
        <v>-0.41199581999999996</v>
      </c>
      <c r="T31" s="347">
        <f>E31-F31</f>
        <v>-0.41199581999999996</v>
      </c>
      <c r="U31" s="346"/>
      <c r="V31" s="346"/>
      <c r="W31" s="346"/>
      <c r="X31" s="430"/>
      <c r="Y31" s="431"/>
      <c r="AF31" s="92"/>
    </row>
    <row r="32" spans="1:32" ht="26.25" customHeight="1">
      <c r="A32" s="371"/>
      <c r="B32" s="372"/>
      <c r="C32" s="378" t="s">
        <v>153</v>
      </c>
      <c r="D32" s="335"/>
      <c r="E32" s="155">
        <f>E31</f>
        <v>0</v>
      </c>
      <c r="F32" s="337">
        <f>F31</f>
        <v>0.41199581999999996</v>
      </c>
      <c r="G32" s="155"/>
      <c r="H32" s="337"/>
      <c r="I32" s="339"/>
      <c r="J32" s="337">
        <f>J31</f>
        <v>0.41199581999999996</v>
      </c>
      <c r="K32" s="339"/>
      <c r="L32" s="340"/>
      <c r="M32" s="341"/>
      <c r="N32" s="346"/>
      <c r="O32" s="347">
        <f>H32+J32+L32+N32</f>
        <v>0.41199581999999996</v>
      </c>
      <c r="P32" s="347">
        <f>P31</f>
        <v>0.41199581999999996</v>
      </c>
      <c r="Q32" s="346"/>
      <c r="R32" s="348"/>
      <c r="S32" s="347">
        <f>E32-H32-J32-L32-N32</f>
        <v>-0.41199581999999996</v>
      </c>
      <c r="T32" s="347">
        <f>E32-F32</f>
        <v>-0.41199581999999996</v>
      </c>
      <c r="U32" s="346"/>
      <c r="V32" s="346"/>
      <c r="W32" s="346"/>
      <c r="X32" s="430"/>
      <c r="Y32" s="431"/>
      <c r="AF32" s="92"/>
    </row>
    <row r="33" spans="1:32" ht="34.5" customHeight="1">
      <c r="A33" s="371" t="s">
        <v>168</v>
      </c>
      <c r="B33" s="372" t="s">
        <v>146</v>
      </c>
      <c r="C33" s="379" t="s">
        <v>155</v>
      </c>
      <c r="D33" s="335"/>
      <c r="E33" s="155">
        <f>501838.5/1000000*1.18</f>
        <v>0.5921694299999999</v>
      </c>
      <c r="F33" s="337">
        <f>H33+J33+L33+N33</f>
        <v>0.18209406</v>
      </c>
      <c r="G33" s="155">
        <f>0.502*1.18</f>
        <v>0.59236</v>
      </c>
      <c r="H33" s="337">
        <f>(12916+141401)/1000000*1.18</f>
        <v>0.18209406</v>
      </c>
      <c r="I33" s="339"/>
      <c r="J33" s="337"/>
      <c r="K33" s="339"/>
      <c r="L33" s="340"/>
      <c r="M33" s="341"/>
      <c r="N33" s="346"/>
      <c r="O33" s="347">
        <f t="shared" si="3"/>
        <v>0.18209406</v>
      </c>
      <c r="P33" s="347"/>
      <c r="Q33" s="346"/>
      <c r="R33" s="348"/>
      <c r="S33" s="349">
        <f>E33-F33</f>
        <v>0.4100753699999999</v>
      </c>
      <c r="T33" s="347">
        <f t="shared" si="4"/>
        <v>0.4100753699999999</v>
      </c>
      <c r="U33" s="346"/>
      <c r="V33" s="346"/>
      <c r="W33" s="346"/>
      <c r="X33" s="430"/>
      <c r="Y33" s="431"/>
      <c r="AF33" s="92"/>
    </row>
    <row r="34" spans="1:32" ht="24" customHeight="1">
      <c r="A34" s="371"/>
      <c r="B34" s="372"/>
      <c r="C34" s="378" t="s">
        <v>153</v>
      </c>
      <c r="D34" s="335"/>
      <c r="E34" s="155">
        <f>E33</f>
        <v>0.5921694299999999</v>
      </c>
      <c r="F34" s="337">
        <f>F33</f>
        <v>0.18209406</v>
      </c>
      <c r="G34" s="155">
        <f>G33</f>
        <v>0.59236</v>
      </c>
      <c r="H34" s="337">
        <f>H33</f>
        <v>0.18209406</v>
      </c>
      <c r="I34" s="339"/>
      <c r="J34" s="337"/>
      <c r="K34" s="339"/>
      <c r="L34" s="340"/>
      <c r="M34" s="341"/>
      <c r="N34" s="346"/>
      <c r="O34" s="347">
        <f t="shared" si="3"/>
        <v>0.18209406</v>
      </c>
      <c r="P34" s="347"/>
      <c r="Q34" s="346"/>
      <c r="R34" s="348"/>
      <c r="S34" s="347">
        <f>E34-H34-J34-L34-N34</f>
        <v>0.4100753699999999</v>
      </c>
      <c r="T34" s="347">
        <f t="shared" si="4"/>
        <v>0.4100753699999999</v>
      </c>
      <c r="U34" s="346"/>
      <c r="V34" s="346"/>
      <c r="W34" s="346"/>
      <c r="X34" s="430"/>
      <c r="Y34" s="431"/>
      <c r="AF34" s="92"/>
    </row>
    <row r="35" spans="1:32" ht="24" customHeight="1">
      <c r="A35" s="371"/>
      <c r="B35" s="372"/>
      <c r="C35" s="378"/>
      <c r="D35" s="335"/>
      <c r="E35" s="155"/>
      <c r="F35" s="337"/>
      <c r="G35" s="347"/>
      <c r="H35" s="337"/>
      <c r="I35" s="339"/>
      <c r="J35" s="337"/>
      <c r="K35" s="339"/>
      <c r="L35" s="340"/>
      <c r="M35" s="341"/>
      <c r="N35" s="346"/>
      <c r="O35" s="347"/>
      <c r="P35" s="347"/>
      <c r="Q35" s="346"/>
      <c r="R35" s="348"/>
      <c r="S35" s="347"/>
      <c r="T35" s="347"/>
      <c r="U35" s="346"/>
      <c r="V35" s="346"/>
      <c r="W35" s="346"/>
      <c r="X35" s="430"/>
      <c r="Y35" s="431"/>
      <c r="AF35" s="92"/>
    </row>
    <row r="36" spans="1:25" ht="33.75" customHeight="1">
      <c r="A36" s="313" t="s">
        <v>97</v>
      </c>
      <c r="B36" s="313" t="s">
        <v>140</v>
      </c>
      <c r="C36" s="305" t="s">
        <v>96</v>
      </c>
      <c r="D36" s="308" t="s">
        <v>0</v>
      </c>
      <c r="E36" s="432" t="s">
        <v>1</v>
      </c>
      <c r="F36" s="433"/>
      <c r="G36" s="433"/>
      <c r="H36" s="433"/>
      <c r="I36" s="433"/>
      <c r="J36" s="433"/>
      <c r="K36" s="433"/>
      <c r="L36" s="433"/>
      <c r="M36" s="433"/>
      <c r="N36" s="433"/>
      <c r="O36" s="342" t="s">
        <v>2</v>
      </c>
      <c r="P36" s="316"/>
      <c r="Q36" s="342" t="s">
        <v>3</v>
      </c>
      <c r="R36" s="316"/>
      <c r="S36" s="342" t="s">
        <v>4</v>
      </c>
      <c r="T36" s="432" t="s">
        <v>5</v>
      </c>
      <c r="U36" s="433"/>
      <c r="V36" s="433"/>
      <c r="W36" s="433"/>
      <c r="X36" s="434" t="s">
        <v>98</v>
      </c>
      <c r="Y36" s="435"/>
    </row>
    <row r="37" spans="1:25" ht="23.25" customHeight="1">
      <c r="A37" s="314"/>
      <c r="B37" s="314"/>
      <c r="C37" s="306"/>
      <c r="D37" s="309"/>
      <c r="E37" s="432" t="s">
        <v>6</v>
      </c>
      <c r="F37" s="433"/>
      <c r="G37" s="432" t="s">
        <v>7</v>
      </c>
      <c r="H37" s="433"/>
      <c r="I37" s="432" t="s">
        <v>8</v>
      </c>
      <c r="J37" s="433"/>
      <c r="K37" s="432" t="s">
        <v>9</v>
      </c>
      <c r="L37" s="433"/>
      <c r="M37" s="432" t="s">
        <v>10</v>
      </c>
      <c r="N37" s="433"/>
      <c r="O37" s="343"/>
      <c r="P37" s="317"/>
      <c r="Q37" s="343"/>
      <c r="R37" s="317"/>
      <c r="S37" s="318"/>
      <c r="T37" s="342" t="s">
        <v>11</v>
      </c>
      <c r="U37" s="342" t="s">
        <v>12</v>
      </c>
      <c r="V37" s="344" t="s">
        <v>13</v>
      </c>
      <c r="W37" s="345"/>
      <c r="X37" s="436"/>
      <c r="Y37" s="412"/>
    </row>
    <row r="38" spans="1:25" ht="81.75" customHeight="1">
      <c r="A38" s="315"/>
      <c r="B38" s="315"/>
      <c r="C38" s="307"/>
      <c r="D38" s="310"/>
      <c r="E38" s="270" t="s">
        <v>14</v>
      </c>
      <c r="F38" s="67" t="s">
        <v>15</v>
      </c>
      <c r="G38" s="25" t="s">
        <v>16</v>
      </c>
      <c r="H38" s="25" t="s">
        <v>17</v>
      </c>
      <c r="I38" s="25" t="s">
        <v>16</v>
      </c>
      <c r="J38" s="25" t="s">
        <v>17</v>
      </c>
      <c r="K38" s="25" t="s">
        <v>16</v>
      </c>
      <c r="L38" s="25" t="s">
        <v>17</v>
      </c>
      <c r="M38" s="25" t="s">
        <v>16</v>
      </c>
      <c r="N38" s="25" t="s">
        <v>17</v>
      </c>
      <c r="O38" s="11" t="s">
        <v>6</v>
      </c>
      <c r="P38" s="21" t="s">
        <v>119</v>
      </c>
      <c r="Q38" s="11" t="s">
        <v>6</v>
      </c>
      <c r="R38" s="21" t="s">
        <v>119</v>
      </c>
      <c r="S38" s="343"/>
      <c r="T38" s="343"/>
      <c r="U38" s="343"/>
      <c r="V38" s="9" t="s">
        <v>18</v>
      </c>
      <c r="W38" s="9" t="s">
        <v>19</v>
      </c>
      <c r="X38" s="413"/>
      <c r="Y38" s="414"/>
    </row>
    <row r="39" spans="1:32" s="319" customFormat="1" ht="45" customHeight="1">
      <c r="A39" s="371" t="s">
        <v>214</v>
      </c>
      <c r="B39" s="374" t="s">
        <v>117</v>
      </c>
      <c r="C39" s="379" t="s">
        <v>215</v>
      </c>
      <c r="D39" s="335"/>
      <c r="E39" s="375">
        <v>0</v>
      </c>
      <c r="F39" s="337">
        <f>H39+J39+L39+N39</f>
        <v>3.33166982</v>
      </c>
      <c r="G39" s="346"/>
      <c r="H39" s="346"/>
      <c r="I39" s="341">
        <v>0</v>
      </c>
      <c r="J39" s="337">
        <f>(2164339+329555+329555)/1000000*1.18</f>
        <v>3.33166982</v>
      </c>
      <c r="K39" s="341">
        <f>E39</f>
        <v>0</v>
      </c>
      <c r="L39" s="346"/>
      <c r="M39" s="341"/>
      <c r="N39" s="346"/>
      <c r="O39" s="347">
        <f>H39+J39+L39+N39</f>
        <v>3.33166982</v>
      </c>
      <c r="P39" s="337">
        <f>J39</f>
        <v>3.33166982</v>
      </c>
      <c r="Q39" s="346"/>
      <c r="R39" s="346"/>
      <c r="S39" s="347">
        <f>E39-F39</f>
        <v>-3.33166982</v>
      </c>
      <c r="T39" s="347">
        <f t="shared" si="4"/>
        <v>-3.33166982</v>
      </c>
      <c r="U39" s="346"/>
      <c r="V39" s="346"/>
      <c r="W39" s="346"/>
      <c r="X39" s="430"/>
      <c r="Y39" s="431"/>
      <c r="AF39" s="320"/>
    </row>
    <row r="40" spans="1:32" ht="19.5" customHeight="1">
      <c r="A40" s="371"/>
      <c r="B40" s="372"/>
      <c r="C40" s="378" t="s">
        <v>153</v>
      </c>
      <c r="D40" s="335"/>
      <c r="E40" s="373">
        <f>E39</f>
        <v>0</v>
      </c>
      <c r="F40" s="347">
        <f>F39</f>
        <v>3.33166982</v>
      </c>
      <c r="G40" s="338"/>
      <c r="H40" s="348"/>
      <c r="I40" s="376">
        <f>I39</f>
        <v>0</v>
      </c>
      <c r="J40" s="347">
        <f>J39</f>
        <v>3.33166982</v>
      </c>
      <c r="K40" s="341">
        <f>E40</f>
        <v>0</v>
      </c>
      <c r="L40" s="340"/>
      <c r="M40" s="337"/>
      <c r="N40" s="346"/>
      <c r="O40" s="347">
        <f>H40+J40+L40+N40</f>
        <v>3.33166982</v>
      </c>
      <c r="P40" s="347">
        <f>P39</f>
        <v>3.33166982</v>
      </c>
      <c r="Q40" s="346"/>
      <c r="R40" s="348"/>
      <c r="S40" s="347">
        <f>E40-H40-J40-L40-N40-0.000505</f>
        <v>-3.33217482</v>
      </c>
      <c r="T40" s="347">
        <f>E40-F40-0.000505</f>
        <v>-3.33217482</v>
      </c>
      <c r="U40" s="346"/>
      <c r="V40" s="346"/>
      <c r="W40" s="346"/>
      <c r="X40" s="430"/>
      <c r="Y40" s="431"/>
      <c r="AF40" s="92"/>
    </row>
    <row r="41" spans="1:32" ht="42" customHeight="1">
      <c r="A41" s="371" t="s">
        <v>169</v>
      </c>
      <c r="B41" s="372" t="s">
        <v>147</v>
      </c>
      <c r="C41" s="379" t="s">
        <v>148</v>
      </c>
      <c r="D41" s="335"/>
      <c r="E41" s="155">
        <f>5421588.05/1000000*1.18</f>
        <v>6.3974738989999995</v>
      </c>
      <c r="F41" s="341">
        <f>H41+J41+L41+N41</f>
        <v>0</v>
      </c>
      <c r="G41" s="338"/>
      <c r="H41" s="348"/>
      <c r="I41" s="155"/>
      <c r="J41" s="340"/>
      <c r="K41" s="347">
        <f>E41</f>
        <v>6.3974738989999995</v>
      </c>
      <c r="L41" s="340"/>
      <c r="M41" s="337"/>
      <c r="N41" s="346"/>
      <c r="O41" s="340">
        <f t="shared" si="3"/>
        <v>0</v>
      </c>
      <c r="P41" s="340"/>
      <c r="Q41" s="346"/>
      <c r="R41" s="348"/>
      <c r="S41" s="349">
        <f>E41-F41</f>
        <v>6.3974738989999995</v>
      </c>
      <c r="T41" s="347">
        <f>E41-F41-0.000505</f>
        <v>6.396968898999999</v>
      </c>
      <c r="U41" s="346"/>
      <c r="V41" s="346"/>
      <c r="W41" s="346"/>
      <c r="X41" s="430"/>
      <c r="Y41" s="431"/>
      <c r="AF41" s="92"/>
    </row>
    <row r="42" spans="1:32" ht="24" customHeight="1">
      <c r="A42" s="371"/>
      <c r="B42" s="372"/>
      <c r="C42" s="378" t="s">
        <v>153</v>
      </c>
      <c r="D42" s="335"/>
      <c r="E42" s="155">
        <f>E41</f>
        <v>6.3974738989999995</v>
      </c>
      <c r="F42" s="340">
        <f>F41</f>
        <v>0</v>
      </c>
      <c r="G42" s="338"/>
      <c r="H42" s="348"/>
      <c r="I42" s="155"/>
      <c r="J42" s="340"/>
      <c r="K42" s="347">
        <f>E42</f>
        <v>6.3974738989999995</v>
      </c>
      <c r="L42" s="340"/>
      <c r="M42" s="337"/>
      <c r="N42" s="346"/>
      <c r="O42" s="340">
        <f t="shared" si="3"/>
        <v>0</v>
      </c>
      <c r="P42" s="340"/>
      <c r="Q42" s="346"/>
      <c r="R42" s="348"/>
      <c r="S42" s="347">
        <f>E42-H42-J42-L42-N42-0.000505</f>
        <v>6.396968898999999</v>
      </c>
      <c r="T42" s="347">
        <f>E42-F42-0.000505</f>
        <v>6.396968898999999</v>
      </c>
      <c r="U42" s="346"/>
      <c r="V42" s="346"/>
      <c r="W42" s="346"/>
      <c r="X42" s="430"/>
      <c r="Y42" s="431"/>
      <c r="AF42" s="92"/>
    </row>
    <row r="43" spans="1:32" ht="19.5" customHeight="1">
      <c r="A43" s="135"/>
      <c r="B43" s="124"/>
      <c r="C43" s="125" t="s">
        <v>116</v>
      </c>
      <c r="D43" s="321"/>
      <c r="E43" s="321"/>
      <c r="F43" s="322"/>
      <c r="G43" s="323"/>
      <c r="H43" s="322"/>
      <c r="I43" s="324"/>
      <c r="J43" s="325"/>
      <c r="K43" s="324"/>
      <c r="L43" s="325"/>
      <c r="M43" s="326"/>
      <c r="N43" s="327"/>
      <c r="O43" s="325"/>
      <c r="P43" s="325"/>
      <c r="Q43" s="327"/>
      <c r="R43" s="322"/>
      <c r="S43" s="328"/>
      <c r="T43" s="328"/>
      <c r="U43" s="327"/>
      <c r="V43" s="327"/>
      <c r="W43" s="327"/>
      <c r="X43" s="428"/>
      <c r="Y43" s="429"/>
      <c r="AF43" s="92"/>
    </row>
    <row r="44" spans="1:32" ht="54" customHeight="1">
      <c r="A44" s="80" t="s">
        <v>170</v>
      </c>
      <c r="B44" s="126" t="s">
        <v>115</v>
      </c>
      <c r="C44" s="377" t="s">
        <v>213</v>
      </c>
      <c r="D44" s="329"/>
      <c r="E44" s="330">
        <f>9594020/1000000*1.18</f>
        <v>11.3209436</v>
      </c>
      <c r="F44" s="331">
        <f>H44+J44+L44+N44</f>
        <v>1.22693568</v>
      </c>
      <c r="G44" s="332">
        <f>1.065*1.18</f>
        <v>1.2567</v>
      </c>
      <c r="H44" s="331">
        <f>(14574+144750+66429)/1000000*1.18</f>
        <v>0.26638854</v>
      </c>
      <c r="I44" s="333">
        <f>4.01*1.18</f>
        <v>4.7318</v>
      </c>
      <c r="J44" s="331">
        <f>(164544+56921+39046+49377+69767+130332+112728+22138+33741+39045+55723+40661)/1000000*1.18</f>
        <v>0.96054714</v>
      </c>
      <c r="K44" s="333">
        <f>2.054*1.18</f>
        <v>2.42372</v>
      </c>
      <c r="L44" s="77"/>
      <c r="M44" s="331">
        <f>E44-G44-I44-K44</f>
        <v>2.9087235999999996</v>
      </c>
      <c r="N44" s="334"/>
      <c r="O44" s="333">
        <f>H44+J44+L44+N44</f>
        <v>1.22693568</v>
      </c>
      <c r="P44" s="333">
        <f>J44</f>
        <v>0.96054714</v>
      </c>
      <c r="Q44" s="334"/>
      <c r="R44" s="75"/>
      <c r="S44" s="333">
        <f>E44-H44-J44-L44-N44</f>
        <v>10.094007920000001</v>
      </c>
      <c r="T44" s="333">
        <f>E44-F44</f>
        <v>10.09400792</v>
      </c>
      <c r="U44" s="334"/>
      <c r="V44" s="334"/>
      <c r="W44" s="334"/>
      <c r="X44" s="299"/>
      <c r="Y44" s="300"/>
      <c r="AF44" s="92"/>
    </row>
    <row r="45" spans="1:32" ht="53.25" customHeight="1">
      <c r="A45" s="128" t="s">
        <v>171</v>
      </c>
      <c r="B45" s="130" t="s">
        <v>157</v>
      </c>
      <c r="C45" s="378" t="s">
        <v>213</v>
      </c>
      <c r="D45" s="335"/>
      <c r="E45" s="336">
        <f>((0.5*587973.41)+54272.59+40513.48)/1000000*1.18</f>
        <v>0.4587518745</v>
      </c>
      <c r="F45" s="337">
        <f>H45+J45+L45+N45</f>
        <v>2.43608522</v>
      </c>
      <c r="G45" s="338">
        <f>E45</f>
        <v>0.4587518745</v>
      </c>
      <c r="H45" s="337">
        <f>(25790+206687+72363+32495+98548+54928+81257+41546+468774)/1000000*1.18</f>
        <v>1.2772178399999998</v>
      </c>
      <c r="I45" s="337"/>
      <c r="J45" s="337">
        <f>(238443+58842+64407+101925+47517+86754+61523+99046+79120+45639+48861+50014)/1000000*1.18</f>
        <v>1.15886738</v>
      </c>
      <c r="K45" s="339"/>
      <c r="L45" s="340"/>
      <c r="M45" s="341"/>
      <c r="N45" s="346"/>
      <c r="O45" s="347">
        <f>H45+J45+L45+N45</f>
        <v>2.43608522</v>
      </c>
      <c r="P45" s="347">
        <f>J45</f>
        <v>1.15886738</v>
      </c>
      <c r="Q45" s="346"/>
      <c r="R45" s="348"/>
      <c r="S45" s="349">
        <f>E45-F45</f>
        <v>-1.9773333455</v>
      </c>
      <c r="T45" s="347">
        <f>E45-F45</f>
        <v>-1.9773333455</v>
      </c>
      <c r="U45" s="346"/>
      <c r="V45" s="346"/>
      <c r="W45" s="346"/>
      <c r="X45" s="430"/>
      <c r="Y45" s="431"/>
      <c r="AF45" s="92"/>
    </row>
    <row r="46" spans="1:32" ht="19.5" customHeight="1">
      <c r="A46" s="128"/>
      <c r="B46" s="130"/>
      <c r="C46" s="378" t="s">
        <v>153</v>
      </c>
      <c r="D46" s="335"/>
      <c r="E46" s="336">
        <f>E45</f>
        <v>0.4587518745</v>
      </c>
      <c r="F46" s="347">
        <f>F45</f>
        <v>2.43608522</v>
      </c>
      <c r="G46" s="338">
        <f>G45</f>
        <v>0.4587518745</v>
      </c>
      <c r="H46" s="337">
        <f>H45</f>
        <v>1.2772178399999998</v>
      </c>
      <c r="I46" s="339"/>
      <c r="J46" s="347">
        <f>J45</f>
        <v>1.15886738</v>
      </c>
      <c r="K46" s="339"/>
      <c r="L46" s="340"/>
      <c r="M46" s="341"/>
      <c r="N46" s="346"/>
      <c r="O46" s="347">
        <f>H46+J46+L46+N46</f>
        <v>2.43608522</v>
      </c>
      <c r="P46" s="347">
        <f>P45</f>
        <v>1.15886738</v>
      </c>
      <c r="Q46" s="346"/>
      <c r="R46" s="348"/>
      <c r="S46" s="349">
        <f>E46-H46-J46-L46-N46</f>
        <v>-1.9773333455</v>
      </c>
      <c r="T46" s="347">
        <f>E46-F46</f>
        <v>-1.9773333455</v>
      </c>
      <c r="U46" s="346"/>
      <c r="V46" s="346"/>
      <c r="W46" s="346"/>
      <c r="X46" s="430"/>
      <c r="Y46" s="431"/>
      <c r="AF46" s="92"/>
    </row>
    <row r="47" spans="1:32" ht="19.5" customHeight="1">
      <c r="A47" s="135"/>
      <c r="B47" s="124"/>
      <c r="C47" s="125" t="s">
        <v>118</v>
      </c>
      <c r="D47" s="321"/>
      <c r="E47" s="321"/>
      <c r="F47" s="322"/>
      <c r="G47" s="323"/>
      <c r="H47" s="322"/>
      <c r="I47" s="324"/>
      <c r="J47" s="325"/>
      <c r="K47" s="324"/>
      <c r="L47" s="325"/>
      <c r="M47" s="326"/>
      <c r="N47" s="327"/>
      <c r="O47" s="325"/>
      <c r="P47" s="325"/>
      <c r="Q47" s="327"/>
      <c r="R47" s="322"/>
      <c r="S47" s="328"/>
      <c r="T47" s="328"/>
      <c r="U47" s="327"/>
      <c r="V47" s="327"/>
      <c r="W47" s="327"/>
      <c r="X47" s="428"/>
      <c r="Y47" s="429"/>
      <c r="AF47" s="92"/>
    </row>
    <row r="48" spans="1:32" ht="49.5" customHeight="1">
      <c r="A48" s="128" t="s">
        <v>172</v>
      </c>
      <c r="B48" s="134" t="s">
        <v>159</v>
      </c>
      <c r="C48" s="379" t="s">
        <v>160</v>
      </c>
      <c r="D48" s="335"/>
      <c r="E48" s="336">
        <f>((0.2*1001440.35+22003.71+6771.68+2527.5+7213)+(0.4*1001440.35+1219.04+375.16+342.92+399.61)+((0.26*844264.18)+11178.96+4523.97))/1000000*1.18</f>
        <v>1.034775567224</v>
      </c>
      <c r="F48" s="341">
        <f>H48+J48+L48+N48</f>
        <v>0</v>
      </c>
      <c r="G48" s="338"/>
      <c r="H48" s="348"/>
      <c r="I48" s="347"/>
      <c r="J48" s="340"/>
      <c r="K48" s="347">
        <f>0.2*1.18</f>
        <v>0.236</v>
      </c>
      <c r="L48" s="340"/>
      <c r="M48" s="337">
        <f>E48-K48</f>
        <v>0.798775567224</v>
      </c>
      <c r="N48" s="346"/>
      <c r="O48" s="340">
        <f>H48+J48+L48+N48</f>
        <v>0</v>
      </c>
      <c r="P48" s="340"/>
      <c r="Q48" s="346"/>
      <c r="R48" s="348"/>
      <c r="S48" s="349">
        <f>E48-F48</f>
        <v>1.034775567224</v>
      </c>
      <c r="T48" s="347">
        <f>E48-F48</f>
        <v>1.034775567224</v>
      </c>
      <c r="U48" s="346"/>
      <c r="V48" s="346"/>
      <c r="W48" s="346"/>
      <c r="X48" s="430"/>
      <c r="Y48" s="431"/>
      <c r="AF48" s="92"/>
    </row>
    <row r="49" spans="1:32" ht="19.5" customHeight="1">
      <c r="A49" s="128"/>
      <c r="B49" s="130"/>
      <c r="C49" s="380" t="s">
        <v>153</v>
      </c>
      <c r="D49" s="335"/>
      <c r="E49" s="336">
        <f>E48</f>
        <v>1.034775567224</v>
      </c>
      <c r="F49" s="340">
        <f>F48</f>
        <v>0</v>
      </c>
      <c r="G49" s="338"/>
      <c r="H49" s="348"/>
      <c r="I49" s="347"/>
      <c r="J49" s="340"/>
      <c r="K49" s="347">
        <f>K48</f>
        <v>0.236</v>
      </c>
      <c r="L49" s="340"/>
      <c r="M49" s="337">
        <f>E49-K49</f>
        <v>0.798775567224</v>
      </c>
      <c r="N49" s="346"/>
      <c r="O49" s="340">
        <f>H49+J49+L49+N49</f>
        <v>0</v>
      </c>
      <c r="P49" s="340"/>
      <c r="Q49" s="346"/>
      <c r="R49" s="348"/>
      <c r="S49" s="349">
        <f>E49-H49-J49-L49-N49</f>
        <v>1.034775567224</v>
      </c>
      <c r="T49" s="347">
        <f>E49-F49</f>
        <v>1.034775567224</v>
      </c>
      <c r="U49" s="346"/>
      <c r="V49" s="346"/>
      <c r="W49" s="346"/>
      <c r="X49" s="430"/>
      <c r="Y49" s="431"/>
      <c r="AF49" s="92"/>
    </row>
    <row r="50" spans="1:32" ht="19.5" customHeight="1">
      <c r="A50" s="135"/>
      <c r="B50" s="124"/>
      <c r="C50" s="125" t="s">
        <v>161</v>
      </c>
      <c r="D50" s="321"/>
      <c r="E50" s="321"/>
      <c r="F50" s="322"/>
      <c r="G50" s="323"/>
      <c r="H50" s="322"/>
      <c r="I50" s="324"/>
      <c r="J50" s="325"/>
      <c r="K50" s="324"/>
      <c r="L50" s="325"/>
      <c r="M50" s="326"/>
      <c r="N50" s="327"/>
      <c r="O50" s="325"/>
      <c r="P50" s="325"/>
      <c r="Q50" s="327"/>
      <c r="R50" s="322"/>
      <c r="S50" s="328"/>
      <c r="T50" s="328"/>
      <c r="U50" s="327"/>
      <c r="V50" s="327"/>
      <c r="W50" s="327"/>
      <c r="X50" s="428"/>
      <c r="Y50" s="429"/>
      <c r="AF50" s="92"/>
    </row>
    <row r="51" spans="1:32" ht="54" customHeight="1">
      <c r="A51" s="80" t="s">
        <v>173</v>
      </c>
      <c r="B51" s="81" t="s">
        <v>178</v>
      </c>
      <c r="C51" s="377" t="s">
        <v>177</v>
      </c>
      <c r="D51" s="329"/>
      <c r="E51" s="350">
        <f>(2041978+1306866+816791+326717)/1000000*1.18</f>
        <v>5.30097536</v>
      </c>
      <c r="F51" s="75"/>
      <c r="G51" s="332"/>
      <c r="H51" s="75"/>
      <c r="I51" s="333">
        <f>2.041*1.18</f>
        <v>2.4083799999999997</v>
      </c>
      <c r="J51" s="77"/>
      <c r="K51" s="333">
        <f>1.243*1.18</f>
        <v>1.4667400000000002</v>
      </c>
      <c r="L51" s="77"/>
      <c r="M51" s="331">
        <f>E51-I51-K51</f>
        <v>1.42585536</v>
      </c>
      <c r="N51" s="334"/>
      <c r="O51" s="77">
        <f>H51+J51+L51+N51</f>
        <v>0</v>
      </c>
      <c r="P51" s="77"/>
      <c r="Q51" s="334"/>
      <c r="R51" s="75"/>
      <c r="S51" s="333">
        <f>E51-F51</f>
        <v>5.30097536</v>
      </c>
      <c r="T51" s="333">
        <f>E51-F51</f>
        <v>5.30097536</v>
      </c>
      <c r="U51" s="334"/>
      <c r="V51" s="334"/>
      <c r="W51" s="334"/>
      <c r="X51" s="299"/>
      <c r="Y51" s="300"/>
      <c r="AF51" s="92"/>
    </row>
    <row r="52" spans="1:32" ht="36.75" customHeight="1">
      <c r="A52" s="128" t="s">
        <v>174</v>
      </c>
      <c r="B52" s="134" t="s">
        <v>162</v>
      </c>
      <c r="C52" s="378" t="s">
        <v>176</v>
      </c>
      <c r="D52" s="335"/>
      <c r="E52" s="336">
        <f>(((0.2*756245.66)+22003.71+6771.68+2527.5+7213.04)+(0.5*756245.66+21498+8699.94))/1000000*1.18</f>
        <v>0.7057412817600001</v>
      </c>
      <c r="F52" s="337">
        <f>H52+J52+L52+N52</f>
        <v>0.67270502</v>
      </c>
      <c r="G52" s="338">
        <f>E52</f>
        <v>0.7057412817600001</v>
      </c>
      <c r="H52" s="337">
        <f>(433386)/1000000*1.18</f>
        <v>0.51139548</v>
      </c>
      <c r="I52" s="339"/>
      <c r="J52" s="337">
        <f>(136703)/1000000*1.18</f>
        <v>0.16130953999999997</v>
      </c>
      <c r="K52" s="339"/>
      <c r="L52" s="340"/>
      <c r="M52" s="341"/>
      <c r="N52" s="346"/>
      <c r="O52" s="347">
        <f>H52+J52+L52+N52</f>
        <v>0.67270502</v>
      </c>
      <c r="P52" s="347">
        <f>J52</f>
        <v>0.16130953999999997</v>
      </c>
      <c r="Q52" s="346"/>
      <c r="R52" s="348"/>
      <c r="S52" s="349">
        <f>E52-F52</f>
        <v>0.033036261760000074</v>
      </c>
      <c r="T52" s="347">
        <f>E52-F52</f>
        <v>0.033036261760000074</v>
      </c>
      <c r="U52" s="346"/>
      <c r="V52" s="346"/>
      <c r="W52" s="346"/>
      <c r="X52" s="430"/>
      <c r="Y52" s="431"/>
      <c r="AF52" s="92"/>
    </row>
    <row r="53" spans="1:32" ht="19.5" customHeight="1">
      <c r="A53" s="128"/>
      <c r="B53" s="130"/>
      <c r="C53" s="378" t="s">
        <v>153</v>
      </c>
      <c r="D53" s="335"/>
      <c r="E53" s="336">
        <f>E52</f>
        <v>0.7057412817600001</v>
      </c>
      <c r="F53" s="337">
        <f>F52</f>
        <v>0.67270502</v>
      </c>
      <c r="G53" s="338">
        <f>E53</f>
        <v>0.7057412817600001</v>
      </c>
      <c r="H53" s="337">
        <f>H52</f>
        <v>0.51139548</v>
      </c>
      <c r="I53" s="339"/>
      <c r="J53" s="347">
        <f>J52</f>
        <v>0.16130953999999997</v>
      </c>
      <c r="K53" s="339"/>
      <c r="L53" s="340"/>
      <c r="M53" s="341"/>
      <c r="N53" s="346"/>
      <c r="O53" s="347">
        <f>H52+J52+L52+N52</f>
        <v>0.67270502</v>
      </c>
      <c r="P53" s="347">
        <f>P52</f>
        <v>0.16130953999999997</v>
      </c>
      <c r="Q53" s="346"/>
      <c r="R53" s="348"/>
      <c r="S53" s="349">
        <f>E53-H53-J53-L53-N53</f>
        <v>0.033036261760000074</v>
      </c>
      <c r="T53" s="347">
        <f>E53-F53</f>
        <v>0.033036261760000074</v>
      </c>
      <c r="U53" s="346"/>
      <c r="V53" s="346"/>
      <c r="W53" s="346"/>
      <c r="X53" s="430"/>
      <c r="Y53" s="431"/>
      <c r="AF53" s="92"/>
    </row>
    <row r="54" spans="1:32" ht="19.5" customHeight="1">
      <c r="A54" s="135"/>
      <c r="B54" s="124"/>
      <c r="C54" s="125" t="s">
        <v>114</v>
      </c>
      <c r="D54" s="321"/>
      <c r="E54" s="321"/>
      <c r="F54" s="322"/>
      <c r="G54" s="323"/>
      <c r="H54" s="322"/>
      <c r="I54" s="324"/>
      <c r="J54" s="325"/>
      <c r="K54" s="324"/>
      <c r="L54" s="325"/>
      <c r="M54" s="326"/>
      <c r="N54" s="327"/>
      <c r="O54" s="325"/>
      <c r="P54" s="325"/>
      <c r="Q54" s="327"/>
      <c r="R54" s="322"/>
      <c r="S54" s="328"/>
      <c r="T54" s="328"/>
      <c r="U54" s="327"/>
      <c r="V54" s="327"/>
      <c r="W54" s="327"/>
      <c r="X54" s="428"/>
      <c r="Y54" s="429"/>
      <c r="AF54" s="92"/>
    </row>
    <row r="55" spans="1:32" ht="49.5" customHeight="1">
      <c r="A55" s="128" t="s">
        <v>142</v>
      </c>
      <c r="B55" s="127" t="s">
        <v>163</v>
      </c>
      <c r="C55" s="381" t="s">
        <v>179</v>
      </c>
      <c r="D55" s="335"/>
      <c r="E55" s="336">
        <f>(((3.21*1017254.08)+9782.81+3010.68+2751.9+3206.91)+((0.65*1017254.08)+32676.96+13223.91)+((0.865*1017254.08)+32676.96+13223.91))/1000000*1.18</f>
        <v>5.80215389024</v>
      </c>
      <c r="F55" s="341">
        <f>H55+J55+L55+N55</f>
        <v>0</v>
      </c>
      <c r="G55" s="338"/>
      <c r="H55" s="348"/>
      <c r="I55" s="339"/>
      <c r="J55" s="340"/>
      <c r="K55" s="347">
        <f>E55-M55</f>
        <v>1.90815389024</v>
      </c>
      <c r="L55" s="340"/>
      <c r="M55" s="337">
        <f>3.3*1.18</f>
        <v>3.8939999999999997</v>
      </c>
      <c r="N55" s="346"/>
      <c r="O55" s="340">
        <f>H55+J55+L55+N55</f>
        <v>0</v>
      </c>
      <c r="P55" s="340"/>
      <c r="Q55" s="346"/>
      <c r="R55" s="348"/>
      <c r="S55" s="349">
        <f>E55-F55</f>
        <v>5.80215389024</v>
      </c>
      <c r="T55" s="347">
        <f>E55-F55</f>
        <v>5.80215389024</v>
      </c>
      <c r="U55" s="346"/>
      <c r="V55" s="346"/>
      <c r="W55" s="346"/>
      <c r="X55" s="430"/>
      <c r="Y55" s="431"/>
      <c r="AF55" s="92"/>
    </row>
    <row r="56" spans="1:32" ht="26.25" customHeight="1">
      <c r="A56" s="128"/>
      <c r="B56" s="122"/>
      <c r="C56" s="382" t="s">
        <v>153</v>
      </c>
      <c r="D56" s="335"/>
      <c r="E56" s="155">
        <f>E55</f>
        <v>5.80215389024</v>
      </c>
      <c r="F56" s="341">
        <f>F55</f>
        <v>0</v>
      </c>
      <c r="G56" s="338"/>
      <c r="H56" s="348"/>
      <c r="I56" s="339"/>
      <c r="J56" s="340"/>
      <c r="K56" s="347">
        <f>E56-M56</f>
        <v>1.90815389024</v>
      </c>
      <c r="L56" s="340"/>
      <c r="M56" s="337">
        <f>M55</f>
        <v>3.8939999999999997</v>
      </c>
      <c r="N56" s="346"/>
      <c r="O56" s="340">
        <f>O55</f>
        <v>0</v>
      </c>
      <c r="P56" s="340"/>
      <c r="Q56" s="346"/>
      <c r="R56" s="348"/>
      <c r="S56" s="349">
        <f>E56-H56-J56-L56-N56</f>
        <v>5.80215389024</v>
      </c>
      <c r="T56" s="347">
        <f>E56-F56</f>
        <v>5.80215389024</v>
      </c>
      <c r="U56" s="346"/>
      <c r="V56" s="346"/>
      <c r="W56" s="346"/>
      <c r="X56" s="430"/>
      <c r="Y56" s="431"/>
      <c r="AF56" s="92"/>
    </row>
    <row r="57" spans="1:32" ht="25.5" customHeight="1" hidden="1">
      <c r="A57" s="82"/>
      <c r="B57" s="82"/>
      <c r="C57" s="377" t="s">
        <v>125</v>
      </c>
      <c r="D57" s="83"/>
      <c r="E57" s="213"/>
      <c r="F57" s="75">
        <f>H57+J57+L57+N57</f>
        <v>0</v>
      </c>
      <c r="G57" s="107"/>
      <c r="H57" s="76"/>
      <c r="I57" s="106"/>
      <c r="J57" s="75"/>
      <c r="K57" s="106"/>
      <c r="L57" s="77"/>
      <c r="M57" s="108">
        <f>E57-G57-I57-K57</f>
        <v>0</v>
      </c>
      <c r="N57" s="76"/>
      <c r="O57" s="78"/>
      <c r="P57" s="77">
        <f>H57+J57+L57+N57</f>
        <v>0</v>
      </c>
      <c r="Q57" s="76"/>
      <c r="R57" s="75">
        <v>0</v>
      </c>
      <c r="S57" s="110">
        <f>E57-H57-J57-L57-N57</f>
        <v>0</v>
      </c>
      <c r="T57" s="110">
        <f>E57-F57</f>
        <v>0</v>
      </c>
      <c r="U57" s="27"/>
      <c r="V57" s="27"/>
      <c r="W57" s="70"/>
      <c r="X57" s="91"/>
      <c r="Y57" s="91"/>
      <c r="AF57" s="92"/>
    </row>
    <row r="58" spans="3:23" ht="20.25">
      <c r="C58" s="22"/>
      <c r="F58" s="86"/>
      <c r="G58" s="86"/>
      <c r="H58" s="87"/>
      <c r="I58" s="86"/>
      <c r="J58" s="86"/>
      <c r="K58" s="88"/>
      <c r="L58" s="85"/>
      <c r="M58" s="86"/>
      <c r="N58" s="87"/>
      <c r="O58" s="89"/>
      <c r="P58" s="85"/>
      <c r="Q58" s="87"/>
      <c r="R58" s="86"/>
      <c r="S58" s="139"/>
      <c r="T58" s="88"/>
      <c r="U58" s="90"/>
      <c r="V58" s="90"/>
      <c r="W58" s="90"/>
    </row>
    <row r="59" spans="1:6" s="6" customFormat="1" ht="16.5" customHeight="1">
      <c r="A59" s="22"/>
      <c r="B59" s="22" t="s">
        <v>236</v>
      </c>
      <c r="C59" s="22" t="s">
        <v>234</v>
      </c>
      <c r="D59" s="22"/>
      <c r="E59" s="22"/>
      <c r="F59" s="22"/>
    </row>
    <row r="60" spans="1:6" s="6" customFormat="1" ht="18.75">
      <c r="A60" s="22"/>
      <c r="B60" s="22"/>
      <c r="C60" s="22" t="s">
        <v>235</v>
      </c>
      <c r="D60" s="22"/>
      <c r="E60" s="22"/>
      <c r="F60" s="22"/>
    </row>
    <row r="61" spans="1:19" ht="18.75">
      <c r="A61" s="22"/>
      <c r="B61" s="22" t="s">
        <v>237</v>
      </c>
      <c r="C61" s="22" t="s">
        <v>236</v>
      </c>
      <c r="D61" s="22"/>
      <c r="E61" s="22"/>
      <c r="F61" s="22"/>
      <c r="S61" s="3"/>
    </row>
    <row r="62" spans="3:8" ht="20.25">
      <c r="C62" s="22"/>
      <c r="H62" s="111"/>
    </row>
    <row r="63" spans="3:7" ht="20.25">
      <c r="C63" s="22" t="s">
        <v>237</v>
      </c>
      <c r="E63" s="109"/>
      <c r="G63" s="92"/>
    </row>
    <row r="64" ht="20.25">
      <c r="C64" s="22"/>
    </row>
    <row r="65" ht="20.25">
      <c r="C65" s="22"/>
    </row>
    <row r="66" ht="20.25">
      <c r="C66" s="22"/>
    </row>
    <row r="67" ht="20.25">
      <c r="C67" s="22"/>
    </row>
    <row r="68" ht="20.25">
      <c r="C68" s="22"/>
    </row>
    <row r="69" ht="20.25">
      <c r="C69" s="22"/>
    </row>
    <row r="70" ht="20.25">
      <c r="C70" s="22"/>
    </row>
    <row r="71" ht="20.25">
      <c r="C71" s="22"/>
    </row>
    <row r="72" ht="20.25">
      <c r="C72" s="22"/>
    </row>
    <row r="73" ht="20.25">
      <c r="C73" s="22"/>
    </row>
    <row r="74" ht="20.25">
      <c r="C74" s="22"/>
    </row>
    <row r="75" ht="20.25">
      <c r="C75" s="22"/>
    </row>
    <row r="76" ht="20.25">
      <c r="C76" s="22"/>
    </row>
    <row r="77" ht="20.25">
      <c r="C77" s="22"/>
    </row>
    <row r="78" ht="20.25">
      <c r="C78" s="22"/>
    </row>
    <row r="79" ht="20.25">
      <c r="C79" s="22"/>
    </row>
    <row r="80" ht="20.25">
      <c r="C80" s="22"/>
    </row>
    <row r="81" ht="20.25">
      <c r="C81" s="22"/>
    </row>
    <row r="82" ht="20.25">
      <c r="C82" s="22"/>
    </row>
    <row r="83" ht="20.25">
      <c r="C83" s="22"/>
    </row>
    <row r="84" ht="20.25">
      <c r="C84" s="22"/>
    </row>
    <row r="85" ht="20.25">
      <c r="C85" s="22"/>
    </row>
    <row r="86" ht="20.25">
      <c r="C86" s="22"/>
    </row>
    <row r="87" ht="20.25">
      <c r="C87" s="22"/>
    </row>
  </sheetData>
  <mergeCells count="85">
    <mergeCell ref="B11:B13"/>
    <mergeCell ref="T5:Y5"/>
    <mergeCell ref="T6:Y6"/>
    <mergeCell ref="T8:Y8"/>
    <mergeCell ref="T9:Y9"/>
    <mergeCell ref="Q11:R12"/>
    <mergeCell ref="S11:S13"/>
    <mergeCell ref="A11:A13"/>
    <mergeCell ref="C11:C13"/>
    <mergeCell ref="D11:D13"/>
    <mergeCell ref="O11:P12"/>
    <mergeCell ref="M12:N12"/>
    <mergeCell ref="E12:F12"/>
    <mergeCell ref="G12:H12"/>
    <mergeCell ref="I12:J12"/>
    <mergeCell ref="K12:L12"/>
    <mergeCell ref="E11:N11"/>
    <mergeCell ref="W1:Y1"/>
    <mergeCell ref="A4:Y4"/>
    <mergeCell ref="A3:Y3"/>
    <mergeCell ref="U2:Y2"/>
    <mergeCell ref="BU17:BV17"/>
    <mergeCell ref="X11:Y13"/>
    <mergeCell ref="T12:T13"/>
    <mergeCell ref="T11:W11"/>
    <mergeCell ref="X14:Y14"/>
    <mergeCell ref="V12:W12"/>
    <mergeCell ref="U12:U13"/>
    <mergeCell ref="X44:Y44"/>
    <mergeCell ref="X51:Y51"/>
    <mergeCell ref="X56:Y56"/>
    <mergeCell ref="X55:Y55"/>
    <mergeCell ref="X52:Y52"/>
    <mergeCell ref="X53:Y53"/>
    <mergeCell ref="X48:Y48"/>
    <mergeCell ref="X49:Y49"/>
    <mergeCell ref="X45:Y45"/>
    <mergeCell ref="X15:Y15"/>
    <mergeCell ref="X16:Y16"/>
    <mergeCell ref="X17:Y17"/>
    <mergeCell ref="X18:Y18"/>
    <mergeCell ref="A36:A38"/>
    <mergeCell ref="B36:B38"/>
    <mergeCell ref="C36:C38"/>
    <mergeCell ref="D36:D38"/>
    <mergeCell ref="E36:N36"/>
    <mergeCell ref="O36:P37"/>
    <mergeCell ref="Q36:R37"/>
    <mergeCell ref="S36:S38"/>
    <mergeCell ref="M37:N37"/>
    <mergeCell ref="T37:T38"/>
    <mergeCell ref="U37:U38"/>
    <mergeCell ref="V37:W37"/>
    <mergeCell ref="E37:F37"/>
    <mergeCell ref="G37:H37"/>
    <mergeCell ref="I37:J37"/>
    <mergeCell ref="K37:L37"/>
    <mergeCell ref="X42:Y42"/>
    <mergeCell ref="X43:Y43"/>
    <mergeCell ref="T36:W36"/>
    <mergeCell ref="X36:Y38"/>
    <mergeCell ref="X32:Y32"/>
    <mergeCell ref="X25:Y25"/>
    <mergeCell ref="X26:Y26"/>
    <mergeCell ref="X27:Y27"/>
    <mergeCell ref="X28:Y28"/>
    <mergeCell ref="X19:Y19"/>
    <mergeCell ref="X29:Y29"/>
    <mergeCell ref="X30:Y30"/>
    <mergeCell ref="X31:Y31"/>
    <mergeCell ref="X20:Y20"/>
    <mergeCell ref="X21:Y21"/>
    <mergeCell ref="X22:Y22"/>
    <mergeCell ref="X23:Y23"/>
    <mergeCell ref="X24:Y24"/>
    <mergeCell ref="X47:Y47"/>
    <mergeCell ref="X50:Y50"/>
    <mergeCell ref="X54:Y54"/>
    <mergeCell ref="X33:Y33"/>
    <mergeCell ref="X34:Y34"/>
    <mergeCell ref="X35:Y35"/>
    <mergeCell ref="X46:Y46"/>
    <mergeCell ref="X39:Y39"/>
    <mergeCell ref="X40:Y40"/>
    <mergeCell ref="X41:Y41"/>
  </mergeCells>
  <printOptions/>
  <pageMargins left="0.7874015748031497" right="0.7874015748031497" top="0.984251968503937" bottom="0.3937007874015748" header="0.1968503937007874" footer="0.1968503937007874"/>
  <pageSetup horizontalDpi="600" verticalDpi="600" orientation="landscape" paperSize="8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62"/>
  <sheetViews>
    <sheetView zoomScale="70" zoomScaleNormal="70" zoomScaleSheetLayoutView="100" workbookViewId="0" topLeftCell="A2">
      <selection activeCell="B5" sqref="B5:H8"/>
    </sheetView>
  </sheetViews>
  <sheetFormatPr defaultColWidth="9.00390625" defaultRowHeight="12.75"/>
  <cols>
    <col min="1" max="1" width="6.625" style="6" customWidth="1"/>
    <col min="2" max="2" width="24.75390625" style="6" customWidth="1"/>
    <col min="3" max="3" width="11.00390625" style="6" customWidth="1"/>
    <col min="4" max="4" width="4.75390625" style="6" customWidth="1"/>
    <col min="5" max="5" width="10.125" style="6" customWidth="1"/>
    <col min="6" max="6" width="10.00390625" style="6" customWidth="1"/>
    <col min="7" max="7" width="8.875" style="6" customWidth="1"/>
    <col min="8" max="8" width="8.75390625" style="6" customWidth="1"/>
    <col min="9" max="9" width="5.25390625" style="6" customWidth="1"/>
    <col min="10" max="10" width="9.00390625" style="6" customWidth="1"/>
    <col min="11" max="11" width="8.625" style="6" customWidth="1"/>
    <col min="12" max="12" width="8.375" style="6" customWidth="1"/>
    <col min="13" max="13" width="11.25390625" style="6" customWidth="1"/>
    <col min="14" max="14" width="5.25390625" style="6" customWidth="1"/>
    <col min="15" max="15" width="10.125" style="6" customWidth="1"/>
    <col min="16" max="16" width="11.625" style="6" customWidth="1"/>
    <col min="17" max="17" width="10.00390625" style="6" customWidth="1"/>
    <col min="18" max="18" width="9.375" style="6" customWidth="1"/>
    <col min="19" max="19" width="5.75390625" style="6" customWidth="1"/>
    <col min="20" max="20" width="8.375" style="6" customWidth="1"/>
    <col min="21" max="21" width="8.75390625" style="6" customWidth="1"/>
    <col min="22" max="22" width="9.00390625" style="6" customWidth="1"/>
    <col min="23" max="23" width="7.75390625" style="6" hidden="1" customWidth="1"/>
    <col min="24" max="24" width="8.25390625" style="6" hidden="1" customWidth="1"/>
    <col min="25" max="25" width="6.125" style="6" hidden="1" customWidth="1"/>
    <col min="26" max="26" width="7.875" style="6" hidden="1" customWidth="1"/>
    <col min="27" max="27" width="6.375" style="6" customWidth="1"/>
    <col min="28" max="28" width="9.875" style="6" customWidth="1"/>
    <col min="29" max="29" width="5.00390625" style="22" customWidth="1"/>
    <col min="30" max="30" width="8.625" style="6" customWidth="1"/>
    <col min="31" max="31" width="7.375" style="6" customWidth="1"/>
    <col min="32" max="32" width="6.00390625" style="6" customWidth="1"/>
    <col min="33" max="39" width="0.875" style="6" customWidth="1"/>
    <col min="40" max="41" width="3.00390625" style="6" customWidth="1"/>
    <col min="42" max="42" width="5.125" style="3" customWidth="1"/>
    <col min="43" max="43" width="6.00390625" style="3" customWidth="1"/>
    <col min="44" max="44" width="5.125" style="6" customWidth="1"/>
    <col min="45" max="45" width="0.37109375" style="6" customWidth="1"/>
    <col min="46" max="51" width="0.875" style="6" customWidth="1"/>
    <col min="52" max="52" width="1.875" style="6" customWidth="1"/>
    <col min="53" max="16384" width="0.875" style="6" customWidth="1"/>
  </cols>
  <sheetData>
    <row r="1" spans="29:52" s="3" customFormat="1" ht="45" customHeight="1" hidden="1">
      <c r="AC1" s="22"/>
      <c r="AJ1" s="559" t="s">
        <v>26</v>
      </c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59"/>
      <c r="AY1" s="559"/>
      <c r="AZ1" s="559"/>
    </row>
    <row r="2" spans="29:52" s="3" customFormat="1" ht="23.25" customHeight="1">
      <c r="AC2" s="22"/>
      <c r="AF2" s="560" t="s">
        <v>134</v>
      </c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</row>
    <row r="3" spans="1:52" s="2" customFormat="1" ht="36.75" customHeight="1">
      <c r="A3" s="275" t="s">
        <v>60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</row>
    <row r="4" spans="1:52" s="2" customFormat="1" ht="30.75" customHeight="1">
      <c r="A4" s="275" t="s">
        <v>243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</row>
    <row r="5" spans="29:52" s="4" customFormat="1" ht="49.5" customHeight="1">
      <c r="AC5" s="22"/>
      <c r="AD5" s="561" t="s">
        <v>104</v>
      </c>
      <c r="AE5" s="562"/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</row>
    <row r="6" spans="2:52" s="4" customFormat="1" ht="27" customHeight="1">
      <c r="B6" s="263"/>
      <c r="AC6" s="22"/>
      <c r="AD6" s="563" t="s">
        <v>126</v>
      </c>
      <c r="AE6" s="562"/>
      <c r="AF6" s="562"/>
      <c r="AG6" s="562"/>
      <c r="AH6" s="562"/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2"/>
      <c r="AX6" s="562"/>
      <c r="AY6" s="562"/>
      <c r="AZ6" s="562"/>
    </row>
    <row r="7" spans="29:52" s="4" customFormat="1" ht="26.25">
      <c r="AC7" s="22"/>
      <c r="AD7" s="564" t="s">
        <v>180</v>
      </c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562"/>
      <c r="AY7" s="562"/>
      <c r="AZ7" s="562"/>
    </row>
    <row r="8" spans="29:43" s="4" customFormat="1" ht="18.75">
      <c r="AC8" s="22"/>
      <c r="AP8" s="3"/>
      <c r="AQ8" s="3"/>
    </row>
    <row r="10" spans="1:52" ht="25.5" customHeight="1">
      <c r="A10" s="565" t="s">
        <v>139</v>
      </c>
      <c r="B10" s="565" t="s">
        <v>99</v>
      </c>
      <c r="C10" s="541" t="s">
        <v>27</v>
      </c>
      <c r="D10" s="542"/>
      <c r="E10" s="542"/>
      <c r="F10" s="542"/>
      <c r="G10" s="542"/>
      <c r="H10" s="541" t="s">
        <v>77</v>
      </c>
      <c r="I10" s="542"/>
      <c r="J10" s="542"/>
      <c r="K10" s="542"/>
      <c r="L10" s="542"/>
      <c r="M10" s="541" t="s">
        <v>136</v>
      </c>
      <c r="N10" s="542"/>
      <c r="O10" s="542"/>
      <c r="P10" s="542"/>
      <c r="Q10" s="542"/>
      <c r="R10" s="541" t="s">
        <v>137</v>
      </c>
      <c r="S10" s="542"/>
      <c r="T10" s="542"/>
      <c r="U10" s="542"/>
      <c r="V10" s="545"/>
      <c r="W10" s="547" t="s">
        <v>78</v>
      </c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  <c r="AJ10" s="548"/>
      <c r="AK10" s="548"/>
      <c r="AL10" s="548"/>
      <c r="AM10" s="548"/>
      <c r="AN10" s="548"/>
      <c r="AO10" s="548"/>
      <c r="AP10" s="548"/>
      <c r="AQ10" s="548"/>
      <c r="AR10" s="548"/>
      <c r="AS10" s="548"/>
      <c r="AT10" s="548"/>
      <c r="AU10" s="548"/>
      <c r="AV10" s="548"/>
      <c r="AW10" s="548"/>
      <c r="AX10" s="548"/>
      <c r="AY10" s="548"/>
      <c r="AZ10" s="549"/>
    </row>
    <row r="11" spans="1:52" ht="55.5" customHeight="1">
      <c r="A11" s="566"/>
      <c r="B11" s="566"/>
      <c r="C11" s="543"/>
      <c r="D11" s="544"/>
      <c r="E11" s="544"/>
      <c r="F11" s="544"/>
      <c r="G11" s="544"/>
      <c r="H11" s="543"/>
      <c r="I11" s="544"/>
      <c r="J11" s="544"/>
      <c r="K11" s="544"/>
      <c r="L11" s="544"/>
      <c r="M11" s="543"/>
      <c r="N11" s="544"/>
      <c r="O11" s="544"/>
      <c r="P11" s="544"/>
      <c r="Q11" s="544"/>
      <c r="R11" s="543"/>
      <c r="S11" s="544"/>
      <c r="T11" s="544"/>
      <c r="U11" s="544"/>
      <c r="V11" s="546"/>
      <c r="W11" s="304" t="s">
        <v>28</v>
      </c>
      <c r="X11" s="296"/>
      <c r="Y11" s="296"/>
      <c r="Z11" s="296"/>
      <c r="AA11" s="547" t="s">
        <v>29</v>
      </c>
      <c r="AB11" s="548"/>
      <c r="AC11" s="548"/>
      <c r="AD11" s="548"/>
      <c r="AE11" s="547" t="s">
        <v>30</v>
      </c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48"/>
      <c r="AV11" s="548"/>
      <c r="AW11" s="549"/>
      <c r="AX11" s="550" t="s">
        <v>31</v>
      </c>
      <c r="AY11" s="551"/>
      <c r="AZ11" s="552"/>
    </row>
    <row r="12" spans="1:52" ht="108.75" customHeight="1">
      <c r="A12" s="568"/>
      <c r="B12" s="567"/>
      <c r="C12" s="415" t="s">
        <v>6</v>
      </c>
      <c r="D12" s="415" t="s">
        <v>32</v>
      </c>
      <c r="E12" s="415" t="s">
        <v>33</v>
      </c>
      <c r="F12" s="416" t="s">
        <v>34</v>
      </c>
      <c r="G12" s="415" t="s">
        <v>35</v>
      </c>
      <c r="H12" s="415" t="s">
        <v>6</v>
      </c>
      <c r="I12" s="415" t="s">
        <v>32</v>
      </c>
      <c r="J12" s="415" t="s">
        <v>33</v>
      </c>
      <c r="K12" s="30" t="s">
        <v>34</v>
      </c>
      <c r="L12" s="415" t="s">
        <v>35</v>
      </c>
      <c r="M12" s="415" t="s">
        <v>6</v>
      </c>
      <c r="N12" s="415" t="s">
        <v>32</v>
      </c>
      <c r="O12" s="415" t="s">
        <v>33</v>
      </c>
      <c r="P12" s="30" t="s">
        <v>34</v>
      </c>
      <c r="Q12" s="415" t="s">
        <v>35</v>
      </c>
      <c r="R12" s="415" t="s">
        <v>6</v>
      </c>
      <c r="S12" s="415" t="s">
        <v>32</v>
      </c>
      <c r="T12" s="415" t="s">
        <v>33</v>
      </c>
      <c r="U12" s="30" t="s">
        <v>34</v>
      </c>
      <c r="V12" s="415" t="s">
        <v>35</v>
      </c>
      <c r="W12" s="30" t="s">
        <v>36</v>
      </c>
      <c r="X12" s="30" t="s">
        <v>37</v>
      </c>
      <c r="Y12" s="30" t="s">
        <v>38</v>
      </c>
      <c r="Z12" s="30" t="s">
        <v>39</v>
      </c>
      <c r="AA12" s="30" t="s">
        <v>130</v>
      </c>
      <c r="AB12" s="30" t="s">
        <v>37</v>
      </c>
      <c r="AC12" s="20" t="s">
        <v>79</v>
      </c>
      <c r="AD12" s="264" t="s">
        <v>40</v>
      </c>
      <c r="AE12" s="264" t="s">
        <v>36</v>
      </c>
      <c r="AF12" s="459" t="s">
        <v>37</v>
      </c>
      <c r="AG12" s="460"/>
      <c r="AH12" s="460"/>
      <c r="AI12" s="460"/>
      <c r="AJ12" s="461"/>
      <c r="AK12" s="538" t="s">
        <v>41</v>
      </c>
      <c r="AL12" s="539"/>
      <c r="AM12" s="539"/>
      <c r="AN12" s="539"/>
      <c r="AO12" s="540"/>
      <c r="AP12" s="538" t="s">
        <v>122</v>
      </c>
      <c r="AQ12" s="540"/>
      <c r="AR12" s="556" t="s">
        <v>42</v>
      </c>
      <c r="AS12" s="557"/>
      <c r="AT12" s="557"/>
      <c r="AU12" s="557"/>
      <c r="AV12" s="557"/>
      <c r="AW12" s="558"/>
      <c r="AX12" s="553"/>
      <c r="AY12" s="554"/>
      <c r="AZ12" s="555"/>
    </row>
    <row r="13" spans="1:52" s="2" customFormat="1" ht="24" customHeight="1" hidden="1">
      <c r="A13" s="94">
        <v>1</v>
      </c>
      <c r="B13" s="94">
        <v>2</v>
      </c>
      <c r="C13" s="59">
        <v>3</v>
      </c>
      <c r="D13" s="59">
        <v>4</v>
      </c>
      <c r="E13" s="59">
        <v>5</v>
      </c>
      <c r="F13" s="20">
        <v>6</v>
      </c>
      <c r="G13" s="59">
        <v>7</v>
      </c>
      <c r="H13" s="59">
        <v>8</v>
      </c>
      <c r="I13" s="59">
        <v>9</v>
      </c>
      <c r="J13" s="59">
        <v>10</v>
      </c>
      <c r="K13" s="20">
        <v>11</v>
      </c>
      <c r="L13" s="59">
        <v>12</v>
      </c>
      <c r="M13" s="59">
        <v>13</v>
      </c>
      <c r="N13" s="59">
        <v>14</v>
      </c>
      <c r="O13" s="59">
        <v>15</v>
      </c>
      <c r="P13" s="20">
        <v>16</v>
      </c>
      <c r="Q13" s="59">
        <v>17</v>
      </c>
      <c r="R13" s="59">
        <v>18</v>
      </c>
      <c r="S13" s="59">
        <v>19</v>
      </c>
      <c r="T13" s="59">
        <v>20</v>
      </c>
      <c r="U13" s="20">
        <v>21</v>
      </c>
      <c r="V13" s="59">
        <v>22</v>
      </c>
      <c r="W13" s="20"/>
      <c r="X13" s="20"/>
      <c r="Y13" s="20"/>
      <c r="Z13" s="20"/>
      <c r="AA13" s="20">
        <v>23</v>
      </c>
      <c r="AB13" s="20">
        <v>24</v>
      </c>
      <c r="AC13" s="20">
        <v>25</v>
      </c>
      <c r="AD13" s="20">
        <v>26</v>
      </c>
      <c r="AE13" s="20">
        <v>27</v>
      </c>
      <c r="AF13" s="439">
        <v>28</v>
      </c>
      <c r="AG13" s="440"/>
      <c r="AH13" s="440"/>
      <c r="AI13" s="440"/>
      <c r="AJ13" s="441"/>
      <c r="AK13" s="439">
        <v>29</v>
      </c>
      <c r="AL13" s="440"/>
      <c r="AM13" s="440"/>
      <c r="AN13" s="440"/>
      <c r="AO13" s="441"/>
      <c r="AP13" s="526">
        <v>30</v>
      </c>
      <c r="AQ13" s="528"/>
      <c r="AR13" s="529">
        <v>31</v>
      </c>
      <c r="AS13" s="530"/>
      <c r="AT13" s="530"/>
      <c r="AU13" s="530"/>
      <c r="AV13" s="530"/>
      <c r="AW13" s="531"/>
      <c r="AX13" s="526">
        <v>32</v>
      </c>
      <c r="AY13" s="527"/>
      <c r="AZ13" s="528"/>
    </row>
    <row r="14" spans="1:52" ht="47.25" customHeight="1">
      <c r="A14" s="95" t="s">
        <v>20</v>
      </c>
      <c r="B14" s="265" t="s">
        <v>43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02"/>
      <c r="T14" s="10"/>
      <c r="U14" s="10"/>
      <c r="V14" s="10"/>
      <c r="W14" s="10"/>
      <c r="X14" s="10"/>
      <c r="Y14" s="10"/>
      <c r="Z14" s="10"/>
      <c r="AA14" s="10"/>
      <c r="AB14" s="10"/>
      <c r="AC14" s="32"/>
      <c r="AD14" s="10"/>
      <c r="AE14" s="10"/>
      <c r="AF14" s="532"/>
      <c r="AG14" s="533"/>
      <c r="AH14" s="533"/>
      <c r="AI14" s="533"/>
      <c r="AJ14" s="534"/>
      <c r="AK14" s="532"/>
      <c r="AL14" s="533"/>
      <c r="AM14" s="533"/>
      <c r="AN14" s="533"/>
      <c r="AO14" s="534"/>
      <c r="AP14" s="522"/>
      <c r="AQ14" s="523"/>
      <c r="AR14" s="532"/>
      <c r="AS14" s="533"/>
      <c r="AT14" s="533"/>
      <c r="AU14" s="533"/>
      <c r="AV14" s="533"/>
      <c r="AW14" s="534"/>
      <c r="AX14" s="532"/>
      <c r="AY14" s="533"/>
      <c r="AZ14" s="534"/>
    </row>
    <row r="15" spans="1:52" ht="18.75" customHeight="1">
      <c r="A15" s="95" t="s">
        <v>23</v>
      </c>
      <c r="B15" s="265" t="s">
        <v>24</v>
      </c>
      <c r="C15" s="78">
        <f>C16+C17</f>
        <v>39.177762898523994</v>
      </c>
      <c r="D15" s="352">
        <f>D16+D17</f>
        <v>0</v>
      </c>
      <c r="E15" s="78">
        <f>E16+E17</f>
        <v>11.43265649049</v>
      </c>
      <c r="F15" s="78">
        <f aca="true" t="shared" si="0" ref="F15:L15">F16+F17</f>
        <v>27.096680638033998</v>
      </c>
      <c r="G15" s="78">
        <f t="shared" si="0"/>
        <v>0.64842577</v>
      </c>
      <c r="H15" s="78">
        <f t="shared" si="0"/>
        <v>8.26148562</v>
      </c>
      <c r="I15" s="352">
        <f t="shared" si="0"/>
        <v>0</v>
      </c>
      <c r="J15" s="78">
        <f t="shared" si="0"/>
        <v>3.8552887357984043</v>
      </c>
      <c r="K15" s="78">
        <f t="shared" si="0"/>
        <v>4.154097339194333</v>
      </c>
      <c r="L15" s="78">
        <f t="shared" si="0"/>
        <v>0.25209954500726284</v>
      </c>
      <c r="M15" s="78">
        <f aca="true" t="shared" si="1" ref="M15:V15">M16+M17</f>
        <v>-30.916277278524</v>
      </c>
      <c r="N15" s="352">
        <f t="shared" si="1"/>
        <v>0</v>
      </c>
      <c r="O15" s="78">
        <f t="shared" si="1"/>
        <v>-7.577367754691597</v>
      </c>
      <c r="P15" s="78">
        <f t="shared" si="1"/>
        <v>-22.942583298839665</v>
      </c>
      <c r="Q15" s="78">
        <f t="shared" si="1"/>
        <v>-0.3963262249927371</v>
      </c>
      <c r="R15" s="78">
        <f t="shared" si="1"/>
        <v>8.26148562</v>
      </c>
      <c r="S15" s="352">
        <f t="shared" si="1"/>
        <v>0</v>
      </c>
      <c r="T15" s="78">
        <f t="shared" si="1"/>
        <v>3.8552887357984043</v>
      </c>
      <c r="U15" s="78">
        <f t="shared" si="1"/>
        <v>4.154097339194333</v>
      </c>
      <c r="V15" s="78">
        <f t="shared" si="1"/>
        <v>0.25209954500726284</v>
      </c>
      <c r="W15" s="78"/>
      <c r="X15" s="78"/>
      <c r="Y15" s="78"/>
      <c r="Z15" s="78"/>
      <c r="AA15" s="78"/>
      <c r="AB15" s="78"/>
      <c r="AC15" s="352">
        <f>AC16+AC17</f>
        <v>4</v>
      </c>
      <c r="AD15" s="78">
        <f>AD16+AD17</f>
        <v>3.0673000000000004</v>
      </c>
      <c r="AE15" s="32"/>
      <c r="AF15" s="498"/>
      <c r="AG15" s="499"/>
      <c r="AH15" s="499"/>
      <c r="AI15" s="499"/>
      <c r="AJ15" s="500"/>
      <c r="AK15" s="498"/>
      <c r="AL15" s="499"/>
      <c r="AM15" s="499"/>
      <c r="AN15" s="499"/>
      <c r="AO15" s="500"/>
      <c r="AP15" s="522"/>
      <c r="AQ15" s="523"/>
      <c r="AR15" s="535">
        <f>AR40+AR41+AR44+AR47+AR48+AR51</f>
        <v>7.1461</v>
      </c>
      <c r="AS15" s="536"/>
      <c r="AT15" s="536"/>
      <c r="AU15" s="536"/>
      <c r="AV15" s="536"/>
      <c r="AW15" s="537"/>
      <c r="AX15" s="498"/>
      <c r="AY15" s="499"/>
      <c r="AZ15" s="500"/>
    </row>
    <row r="16" spans="1:52" ht="61.5" customHeight="1">
      <c r="A16" s="95"/>
      <c r="B16" s="137" t="s">
        <v>165</v>
      </c>
      <c r="C16" s="333">
        <f aca="true" t="shared" si="2" ref="C16:M16">C20+C21+C22+C23+C40+C47</f>
        <v>22.41999882</v>
      </c>
      <c r="D16" s="77">
        <f t="shared" si="2"/>
        <v>0</v>
      </c>
      <c r="E16" s="333">
        <f t="shared" si="2"/>
        <v>8.6202425068</v>
      </c>
      <c r="F16" s="333">
        <f t="shared" si="2"/>
        <v>13.417069333199999</v>
      </c>
      <c r="G16" s="333">
        <f t="shared" si="2"/>
        <v>0.38268698</v>
      </c>
      <c r="H16" s="333">
        <f t="shared" si="2"/>
        <v>1.22693568</v>
      </c>
      <c r="I16" s="77">
        <f t="shared" si="2"/>
        <v>0</v>
      </c>
      <c r="J16" s="333">
        <f t="shared" si="2"/>
        <v>0.6350317035955055</v>
      </c>
      <c r="K16" s="333">
        <f t="shared" si="2"/>
        <v>0.5883074623595506</v>
      </c>
      <c r="L16" s="333">
        <f t="shared" si="2"/>
        <v>0.0035965140449438202</v>
      </c>
      <c r="M16" s="333">
        <f t="shared" si="2"/>
        <v>-21.19306314</v>
      </c>
      <c r="N16" s="77"/>
      <c r="O16" s="333">
        <f aca="true" t="shared" si="3" ref="O16:V16">O20+O21+O22+O23+O40+O47</f>
        <v>-7.985210803204495</v>
      </c>
      <c r="P16" s="333">
        <f t="shared" si="3"/>
        <v>-12.828761870840449</v>
      </c>
      <c r="Q16" s="333">
        <f t="shared" si="3"/>
        <v>-0.3790904659550562</v>
      </c>
      <c r="R16" s="333">
        <f t="shared" si="3"/>
        <v>1.22693568</v>
      </c>
      <c r="S16" s="77">
        <f t="shared" si="3"/>
        <v>0</v>
      </c>
      <c r="T16" s="333">
        <f t="shared" si="3"/>
        <v>0.6350317035955055</v>
      </c>
      <c r="U16" s="333">
        <f t="shared" si="3"/>
        <v>0.5883074623595506</v>
      </c>
      <c r="V16" s="333">
        <f t="shared" si="3"/>
        <v>0.0035965140449438202</v>
      </c>
      <c r="W16" s="333"/>
      <c r="X16" s="333"/>
      <c r="Y16" s="333"/>
      <c r="Z16" s="333"/>
      <c r="AA16" s="333"/>
      <c r="AB16" s="333"/>
      <c r="AC16" s="77">
        <f>AC20+AC21+AC22+AC23</f>
        <v>0</v>
      </c>
      <c r="AD16" s="333">
        <f>AD20+AD21+AD22+AD23+AD40+AD47</f>
        <v>0.192</v>
      </c>
      <c r="AE16" s="35"/>
      <c r="AF16" s="35"/>
      <c r="AG16" s="168"/>
      <c r="AH16" s="168"/>
      <c r="AI16" s="168"/>
      <c r="AJ16" s="169"/>
      <c r="AK16" s="35"/>
      <c r="AL16" s="168"/>
      <c r="AM16" s="168"/>
      <c r="AN16" s="168"/>
      <c r="AO16" s="169"/>
      <c r="AP16" s="167"/>
      <c r="AQ16" s="114"/>
      <c r="AR16" s="32"/>
      <c r="AS16" s="33"/>
      <c r="AT16" s="33"/>
      <c r="AU16" s="33"/>
      <c r="AV16" s="33"/>
      <c r="AW16" s="34"/>
      <c r="AX16" s="32"/>
      <c r="AY16" s="33"/>
      <c r="AZ16" s="34"/>
    </row>
    <row r="17" spans="1:52" ht="18.75" customHeight="1">
      <c r="A17" s="95"/>
      <c r="B17" s="138" t="s">
        <v>166</v>
      </c>
      <c r="C17" s="333">
        <f aca="true" t="shared" si="4" ref="C17:M17">C24+C26+C28+C30+C31+C33++C34+C41+C44+C48+C51</f>
        <v>16.757764078523998</v>
      </c>
      <c r="D17" s="77">
        <f t="shared" si="4"/>
        <v>0</v>
      </c>
      <c r="E17" s="333">
        <f t="shared" si="4"/>
        <v>2.81241398369</v>
      </c>
      <c r="F17" s="333">
        <f t="shared" si="4"/>
        <v>13.679611304834</v>
      </c>
      <c r="G17" s="333">
        <f t="shared" si="4"/>
        <v>0.26573879</v>
      </c>
      <c r="H17" s="333">
        <f t="shared" si="4"/>
        <v>7.03454994</v>
      </c>
      <c r="I17" s="77">
        <f t="shared" si="4"/>
        <v>0</v>
      </c>
      <c r="J17" s="333">
        <f t="shared" si="4"/>
        <v>3.2202570322028987</v>
      </c>
      <c r="K17" s="333">
        <f t="shared" si="4"/>
        <v>3.5657898768347827</v>
      </c>
      <c r="L17" s="333">
        <f t="shared" si="4"/>
        <v>0.24850303096231904</v>
      </c>
      <c r="M17" s="333">
        <f t="shared" si="4"/>
        <v>-9.723214138523998</v>
      </c>
      <c r="N17" s="77"/>
      <c r="O17" s="333">
        <f>O24+O26+O28+O30+O31+O33++O34+O41+O44+O48+O51</f>
        <v>0.4078430485128983</v>
      </c>
      <c r="P17" s="333">
        <f>P24+P26+P28+P30+P31+P33++P34+P41+P44+P48+P51</f>
        <v>-10.113821427999216</v>
      </c>
      <c r="Q17" s="333">
        <f>Q24+Q26+Q28+Q30+Q31+Q33++Q34+Q41+Q44+Q48+Q51</f>
        <v>-0.017235759037680945</v>
      </c>
      <c r="R17" s="333">
        <f>R24+R26+R28+R30+R31+R33++R34+R41+R44+R48+R51</f>
        <v>7.03454994</v>
      </c>
      <c r="S17" s="77">
        <f>S24+S26+S28+S31+S34+S41+S44+S48+S51</f>
        <v>0</v>
      </c>
      <c r="T17" s="333">
        <f>T24+T26+T28+T30+T31+T33++T34+T41+T44+T48+T51</f>
        <v>3.2202570322028987</v>
      </c>
      <c r="U17" s="333">
        <f>U24+U26+U28+U30+U31+U33++U34+U41+U44+U48+U51</f>
        <v>3.5657898768347827</v>
      </c>
      <c r="V17" s="333">
        <f>V24+V26+V28+V30+V31+V33++V34+V41+V44+V48+V51</f>
        <v>0.24850303096231904</v>
      </c>
      <c r="W17" s="333"/>
      <c r="X17" s="333"/>
      <c r="Y17" s="333"/>
      <c r="Z17" s="333"/>
      <c r="AA17" s="333"/>
      <c r="AB17" s="333"/>
      <c r="AC17" s="77">
        <f>AC24+AC26+AC28+AC30+AC31+AC33+AC34</f>
        <v>4</v>
      </c>
      <c r="AD17" s="333">
        <f>AD24+AD26+AD28+AD30+AD31+AD33+AD34+AD41+AD44+AD48+AD51</f>
        <v>2.8753</v>
      </c>
      <c r="AE17" s="35"/>
      <c r="AF17" s="35"/>
      <c r="AG17" s="168"/>
      <c r="AH17" s="168"/>
      <c r="AI17" s="168"/>
      <c r="AJ17" s="169"/>
      <c r="AK17" s="35"/>
      <c r="AL17" s="168"/>
      <c r="AM17" s="168"/>
      <c r="AN17" s="168"/>
      <c r="AO17" s="169"/>
      <c r="AP17" s="167"/>
      <c r="AQ17" s="114"/>
      <c r="AR17" s="32"/>
      <c r="AS17" s="33"/>
      <c r="AT17" s="33"/>
      <c r="AU17" s="33"/>
      <c r="AV17" s="33"/>
      <c r="AW17" s="34"/>
      <c r="AX17" s="32"/>
      <c r="AY17" s="33"/>
      <c r="AZ17" s="34"/>
    </row>
    <row r="18" spans="1:52" ht="65.25" customHeight="1">
      <c r="A18" s="95"/>
      <c r="B18" s="96" t="s">
        <v>22</v>
      </c>
      <c r="C18" s="78"/>
      <c r="D18" s="78"/>
      <c r="E18" s="78"/>
      <c r="F18" s="78"/>
      <c r="G18" s="78"/>
      <c r="H18" s="78"/>
      <c r="I18" s="352"/>
      <c r="J18" s="78"/>
      <c r="K18" s="78"/>
      <c r="L18" s="78"/>
      <c r="M18" s="78"/>
      <c r="N18" s="352"/>
      <c r="O18" s="78"/>
      <c r="P18" s="78"/>
      <c r="Q18" s="78"/>
      <c r="R18" s="78"/>
      <c r="S18" s="352"/>
      <c r="T18" s="78"/>
      <c r="U18" s="78"/>
      <c r="V18" s="78"/>
      <c r="W18" s="78"/>
      <c r="X18" s="78"/>
      <c r="Y18" s="78"/>
      <c r="Z18" s="78"/>
      <c r="AA18" s="78"/>
      <c r="AB18" s="78"/>
      <c r="AC18" s="352"/>
      <c r="AD18" s="78"/>
      <c r="AE18" s="32"/>
      <c r="AF18" s="498"/>
      <c r="AG18" s="499"/>
      <c r="AH18" s="499"/>
      <c r="AI18" s="499"/>
      <c r="AJ18" s="500"/>
      <c r="AK18" s="498"/>
      <c r="AL18" s="499"/>
      <c r="AM18" s="499"/>
      <c r="AN18" s="499"/>
      <c r="AO18" s="500"/>
      <c r="AP18" s="507"/>
      <c r="AQ18" s="508"/>
      <c r="AR18" s="498"/>
      <c r="AS18" s="499"/>
      <c r="AT18" s="499"/>
      <c r="AU18" s="499"/>
      <c r="AV18" s="499"/>
      <c r="AW18" s="500"/>
      <c r="AX18" s="498"/>
      <c r="AY18" s="499"/>
      <c r="AZ18" s="500"/>
    </row>
    <row r="19" spans="1:52" ht="21" customHeight="1">
      <c r="A19" s="163"/>
      <c r="B19" s="266" t="s">
        <v>108</v>
      </c>
      <c r="C19" s="399"/>
      <c r="D19" s="399"/>
      <c r="E19" s="399"/>
      <c r="F19" s="399"/>
      <c r="G19" s="399"/>
      <c r="H19" s="399"/>
      <c r="I19" s="400"/>
      <c r="J19" s="399"/>
      <c r="K19" s="399"/>
      <c r="L19" s="399"/>
      <c r="M19" s="399"/>
      <c r="N19" s="400"/>
      <c r="O19" s="399"/>
      <c r="P19" s="399"/>
      <c r="Q19" s="399"/>
      <c r="R19" s="399"/>
      <c r="S19" s="400"/>
      <c r="T19" s="399"/>
      <c r="U19" s="399"/>
      <c r="V19" s="399"/>
      <c r="W19" s="399"/>
      <c r="X19" s="399"/>
      <c r="Y19" s="399"/>
      <c r="Z19" s="399"/>
      <c r="AA19" s="399"/>
      <c r="AB19" s="399"/>
      <c r="AC19" s="400"/>
      <c r="AD19" s="399"/>
      <c r="AE19" s="159"/>
      <c r="AF19" s="159"/>
      <c r="AG19" s="161"/>
      <c r="AH19" s="161"/>
      <c r="AI19" s="161"/>
      <c r="AJ19" s="162"/>
      <c r="AK19" s="159"/>
      <c r="AL19" s="161"/>
      <c r="AM19" s="161"/>
      <c r="AN19" s="161"/>
      <c r="AO19" s="162"/>
      <c r="AP19" s="164"/>
      <c r="AQ19" s="165"/>
      <c r="AR19" s="159"/>
      <c r="AS19" s="161"/>
      <c r="AT19" s="161"/>
      <c r="AU19" s="161"/>
      <c r="AV19" s="161"/>
      <c r="AW19" s="162"/>
      <c r="AX19" s="159"/>
      <c r="AY19" s="161"/>
      <c r="AZ19" s="162"/>
    </row>
    <row r="20" spans="1:52" ht="41.25" customHeight="1">
      <c r="A20" s="82" t="s">
        <v>20</v>
      </c>
      <c r="B20" s="13" t="s">
        <v>149</v>
      </c>
      <c r="C20" s="350">
        <f>1006272/1000000*1.18</f>
        <v>1.18740096</v>
      </c>
      <c r="D20" s="77">
        <v>0</v>
      </c>
      <c r="E20" s="350">
        <f>C20-F20-G20-D20</f>
        <v>0.15238777239999995</v>
      </c>
      <c r="F20" s="350">
        <f>C20*81/100</f>
        <v>0.9617947776</v>
      </c>
      <c r="G20" s="350">
        <f>(54.277+7.7725)/1000*1.18</f>
        <v>0.07321841</v>
      </c>
      <c r="H20" s="77">
        <f>'Исп инв прогр 7.1 '!F21</f>
        <v>0</v>
      </c>
      <c r="I20" s="77"/>
      <c r="J20" s="77"/>
      <c r="K20" s="77"/>
      <c r="L20" s="77"/>
      <c r="M20" s="333">
        <f>H20-C20</f>
        <v>-1.18740096</v>
      </c>
      <c r="N20" s="77">
        <f aca="true" t="shared" si="5" ref="M20:Q24">I20-D20</f>
        <v>0</v>
      </c>
      <c r="O20" s="333">
        <f t="shared" si="5"/>
        <v>-0.15238777239999995</v>
      </c>
      <c r="P20" s="333">
        <f t="shared" si="5"/>
        <v>-0.9617947776</v>
      </c>
      <c r="Q20" s="333">
        <f t="shared" si="5"/>
        <v>-0.07321841</v>
      </c>
      <c r="R20" s="77">
        <f aca="true" t="shared" si="6" ref="R20:R35">S20+T20+U20+V20</f>
        <v>0</v>
      </c>
      <c r="S20" s="77"/>
      <c r="T20" s="77"/>
      <c r="U20" s="77"/>
      <c r="V20" s="77"/>
      <c r="W20" s="352"/>
      <c r="X20" s="352"/>
      <c r="Y20" s="352"/>
      <c r="Z20" s="352"/>
      <c r="AA20" s="82">
        <v>2015</v>
      </c>
      <c r="AB20" s="333">
        <v>25</v>
      </c>
      <c r="AC20" s="401"/>
      <c r="AD20" s="350"/>
      <c r="AE20" s="36"/>
      <c r="AF20" s="32"/>
      <c r="AG20" s="33"/>
      <c r="AH20" s="33"/>
      <c r="AI20" s="33"/>
      <c r="AJ20" s="34"/>
      <c r="AK20" s="32"/>
      <c r="AL20" s="33"/>
      <c r="AM20" s="33"/>
      <c r="AN20" s="33"/>
      <c r="AO20" s="34"/>
      <c r="AP20" s="113"/>
      <c r="AQ20" s="114"/>
      <c r="AR20" s="32"/>
      <c r="AS20" s="33"/>
      <c r="AT20" s="33"/>
      <c r="AU20" s="33"/>
      <c r="AV20" s="33"/>
      <c r="AW20" s="34"/>
      <c r="AX20" s="32"/>
      <c r="AY20" s="33"/>
      <c r="AZ20" s="34"/>
    </row>
    <row r="21" spans="1:52" ht="40.5" customHeight="1">
      <c r="A21" s="82" t="s">
        <v>23</v>
      </c>
      <c r="B21" s="13" t="s">
        <v>150</v>
      </c>
      <c r="C21" s="330">
        <f>920125/1000000*1.18</f>
        <v>1.0857474999999999</v>
      </c>
      <c r="D21" s="77">
        <v>0</v>
      </c>
      <c r="E21" s="350">
        <f>C21-F21-G21-D21</f>
        <v>0.12221613999999999</v>
      </c>
      <c r="F21" s="350">
        <f>C21*82/100</f>
        <v>0.8903129499999999</v>
      </c>
      <c r="G21" s="350">
        <f>(54.277+7.7725)/1000*1.18</f>
        <v>0.07321841</v>
      </c>
      <c r="H21" s="77">
        <f>'Исп инв прогр 7.1 '!F22</f>
        <v>0</v>
      </c>
      <c r="I21" s="77"/>
      <c r="J21" s="77"/>
      <c r="K21" s="77"/>
      <c r="L21" s="77"/>
      <c r="M21" s="333">
        <f t="shared" si="5"/>
        <v>-1.0857474999999999</v>
      </c>
      <c r="N21" s="77">
        <f t="shared" si="5"/>
        <v>0</v>
      </c>
      <c r="O21" s="333">
        <f t="shared" si="5"/>
        <v>-0.12221613999999999</v>
      </c>
      <c r="P21" s="333">
        <f t="shared" si="5"/>
        <v>-0.8903129499999999</v>
      </c>
      <c r="Q21" s="333">
        <f t="shared" si="5"/>
        <v>-0.07321841</v>
      </c>
      <c r="R21" s="77">
        <f t="shared" si="6"/>
        <v>0</v>
      </c>
      <c r="S21" s="77"/>
      <c r="T21" s="77"/>
      <c r="U21" s="77"/>
      <c r="V21" s="77"/>
      <c r="W21" s="352"/>
      <c r="X21" s="352"/>
      <c r="Y21" s="352"/>
      <c r="Z21" s="352"/>
      <c r="AA21" s="82">
        <v>2015</v>
      </c>
      <c r="AB21" s="333">
        <v>25</v>
      </c>
      <c r="AC21" s="77"/>
      <c r="AD21" s="350"/>
      <c r="AE21" s="36"/>
      <c r="AF21" s="32"/>
      <c r="AG21" s="33"/>
      <c r="AH21" s="33"/>
      <c r="AI21" s="33"/>
      <c r="AJ21" s="34"/>
      <c r="AK21" s="32"/>
      <c r="AL21" s="33"/>
      <c r="AM21" s="33"/>
      <c r="AN21" s="33"/>
      <c r="AO21" s="34"/>
      <c r="AP21" s="113"/>
      <c r="AQ21" s="114"/>
      <c r="AR21" s="32"/>
      <c r="AS21" s="33"/>
      <c r="AT21" s="33"/>
      <c r="AU21" s="33"/>
      <c r="AV21" s="33"/>
      <c r="AW21" s="34"/>
      <c r="AX21" s="32"/>
      <c r="AY21" s="33"/>
      <c r="AZ21" s="34"/>
    </row>
    <row r="22" spans="1:52" ht="40.5" customHeight="1">
      <c r="A22" s="82" t="s">
        <v>109</v>
      </c>
      <c r="B22" s="13" t="s">
        <v>151</v>
      </c>
      <c r="C22" s="350">
        <f>532986/1000000*1.18</f>
        <v>0.6289234799999999</v>
      </c>
      <c r="D22" s="77">
        <v>0</v>
      </c>
      <c r="E22" s="350">
        <f>C22-F22-G22-D22</f>
        <v>0.0399878164</v>
      </c>
      <c r="F22" s="350">
        <f>C22*82/100</f>
        <v>0.5157172535999999</v>
      </c>
      <c r="G22" s="350">
        <f>(54.277+7.7725)/1000*1.18</f>
        <v>0.07321841</v>
      </c>
      <c r="H22" s="77">
        <f>'Исп инв прогр 7.1 '!F23</f>
        <v>0</v>
      </c>
      <c r="I22" s="77"/>
      <c r="J22" s="77"/>
      <c r="K22" s="77"/>
      <c r="L22" s="77"/>
      <c r="M22" s="333">
        <f t="shared" si="5"/>
        <v>-0.6289234799999999</v>
      </c>
      <c r="N22" s="77">
        <f t="shared" si="5"/>
        <v>0</v>
      </c>
      <c r="O22" s="333">
        <f t="shared" si="5"/>
        <v>-0.0399878164</v>
      </c>
      <c r="P22" s="333">
        <f t="shared" si="5"/>
        <v>-0.5157172535999999</v>
      </c>
      <c r="Q22" s="333">
        <f t="shared" si="5"/>
        <v>-0.07321841</v>
      </c>
      <c r="R22" s="77">
        <f t="shared" si="6"/>
        <v>0</v>
      </c>
      <c r="S22" s="77"/>
      <c r="T22" s="77"/>
      <c r="U22" s="77"/>
      <c r="V22" s="77"/>
      <c r="W22" s="352"/>
      <c r="X22" s="352"/>
      <c r="Y22" s="352"/>
      <c r="Z22" s="352"/>
      <c r="AA22" s="82">
        <v>2015</v>
      </c>
      <c r="AB22" s="333">
        <v>25</v>
      </c>
      <c r="AC22" s="77"/>
      <c r="AD22" s="350"/>
      <c r="AE22" s="36"/>
      <c r="AF22" s="32"/>
      <c r="AG22" s="33"/>
      <c r="AH22" s="33"/>
      <c r="AI22" s="33"/>
      <c r="AJ22" s="34"/>
      <c r="AK22" s="32"/>
      <c r="AL22" s="33"/>
      <c r="AM22" s="33"/>
      <c r="AN22" s="33"/>
      <c r="AO22" s="34"/>
      <c r="AP22" s="113"/>
      <c r="AQ22" s="114"/>
      <c r="AR22" s="32"/>
      <c r="AS22" s="33"/>
      <c r="AT22" s="33"/>
      <c r="AU22" s="33"/>
      <c r="AV22" s="33"/>
      <c r="AW22" s="34"/>
      <c r="AX22" s="32"/>
      <c r="AY22" s="33"/>
      <c r="AZ22" s="34"/>
    </row>
    <row r="23" spans="1:52" ht="37.5" customHeight="1">
      <c r="A23" s="81" t="s">
        <v>113</v>
      </c>
      <c r="B23" s="13" t="s">
        <v>152</v>
      </c>
      <c r="C23" s="370">
        <f>2454244/1000000*1.18</f>
        <v>2.8960079199999997</v>
      </c>
      <c r="D23" s="77">
        <v>0</v>
      </c>
      <c r="E23" s="350">
        <f>C23-F23-G23-D23</f>
        <v>0.21638238200000032</v>
      </c>
      <c r="F23" s="350">
        <f>C23*90/100</f>
        <v>2.6064071279999994</v>
      </c>
      <c r="G23" s="350">
        <f>(54.277+7.7725)/1000*1.18</f>
        <v>0.07321841</v>
      </c>
      <c r="H23" s="77">
        <f>'Исп инв прогр 7.1 '!F24</f>
        <v>0</v>
      </c>
      <c r="I23" s="77"/>
      <c r="J23" s="77"/>
      <c r="K23" s="77"/>
      <c r="L23" s="77"/>
      <c r="M23" s="333">
        <f t="shared" si="5"/>
        <v>-2.8960079199999997</v>
      </c>
      <c r="N23" s="77">
        <f t="shared" si="5"/>
        <v>0</v>
      </c>
      <c r="O23" s="333">
        <f t="shared" si="5"/>
        <v>-0.21638238200000032</v>
      </c>
      <c r="P23" s="333">
        <f t="shared" si="5"/>
        <v>-2.6064071279999994</v>
      </c>
      <c r="Q23" s="333">
        <f t="shared" si="5"/>
        <v>-0.07321841</v>
      </c>
      <c r="R23" s="77">
        <f t="shared" si="6"/>
        <v>0</v>
      </c>
      <c r="S23" s="77"/>
      <c r="T23" s="77"/>
      <c r="U23" s="77"/>
      <c r="V23" s="77"/>
      <c r="W23" s="352"/>
      <c r="X23" s="352"/>
      <c r="Y23" s="352"/>
      <c r="Z23" s="352"/>
      <c r="AA23" s="82">
        <v>2015</v>
      </c>
      <c r="AB23" s="333">
        <v>25</v>
      </c>
      <c r="AC23" s="77"/>
      <c r="AD23" s="350"/>
      <c r="AE23" s="36"/>
      <c r="AF23" s="504"/>
      <c r="AG23" s="505"/>
      <c r="AH23" s="505"/>
      <c r="AI23" s="505"/>
      <c r="AJ23" s="506"/>
      <c r="AK23" s="504"/>
      <c r="AL23" s="505"/>
      <c r="AM23" s="505"/>
      <c r="AN23" s="505"/>
      <c r="AO23" s="506"/>
      <c r="AP23" s="524"/>
      <c r="AQ23" s="525"/>
      <c r="AR23" s="504"/>
      <c r="AS23" s="505"/>
      <c r="AT23" s="505"/>
      <c r="AU23" s="505"/>
      <c r="AV23" s="505"/>
      <c r="AW23" s="506"/>
      <c r="AX23" s="32"/>
      <c r="AY23" s="33"/>
      <c r="AZ23" s="34"/>
    </row>
    <row r="24" spans="1:52" ht="32.25" customHeight="1">
      <c r="A24" s="130" t="s">
        <v>115</v>
      </c>
      <c r="B24" s="131" t="s">
        <v>212</v>
      </c>
      <c r="C24" s="155">
        <f>326230.92/1000000*1.18</f>
        <v>0.38495248559999995</v>
      </c>
      <c r="D24" s="340">
        <v>0</v>
      </c>
      <c r="E24" s="155">
        <f>C24-F24-G24-D24</f>
        <v>0.05016128740799997</v>
      </c>
      <c r="F24" s="155">
        <f>C24*82/100</f>
        <v>0.315661038192</v>
      </c>
      <c r="G24" s="155">
        <f>(14.181+2.031)/1000*1.18</f>
        <v>0.01913016</v>
      </c>
      <c r="H24" s="340">
        <f>'Исп инв прогр 7.1 '!F25</f>
        <v>0</v>
      </c>
      <c r="I24" s="340"/>
      <c r="J24" s="340"/>
      <c r="K24" s="340"/>
      <c r="L24" s="340"/>
      <c r="M24" s="347">
        <f t="shared" si="5"/>
        <v>-0.38495248559999995</v>
      </c>
      <c r="N24" s="340">
        <f t="shared" si="5"/>
        <v>0</v>
      </c>
      <c r="O24" s="347">
        <f t="shared" si="5"/>
        <v>-0.05016128740799997</v>
      </c>
      <c r="P24" s="347">
        <f t="shared" si="5"/>
        <v>-0.315661038192</v>
      </c>
      <c r="Q24" s="347">
        <f t="shared" si="5"/>
        <v>-0.01913016</v>
      </c>
      <c r="R24" s="340">
        <f t="shared" si="6"/>
        <v>0</v>
      </c>
      <c r="S24" s="340"/>
      <c r="T24" s="340"/>
      <c r="U24" s="340"/>
      <c r="V24" s="340"/>
      <c r="W24" s="361"/>
      <c r="X24" s="361"/>
      <c r="Y24" s="361"/>
      <c r="Z24" s="361"/>
      <c r="AA24" s="130">
        <v>2015</v>
      </c>
      <c r="AB24" s="347">
        <v>25</v>
      </c>
      <c r="AC24" s="340"/>
      <c r="AD24" s="155"/>
      <c r="AE24" s="151"/>
      <c r="AF24" s="466"/>
      <c r="AG24" s="467"/>
      <c r="AH24" s="467"/>
      <c r="AI24" s="467"/>
      <c r="AJ24" s="468"/>
      <c r="AK24" s="466"/>
      <c r="AL24" s="467"/>
      <c r="AM24" s="467"/>
      <c r="AN24" s="467"/>
      <c r="AO24" s="468"/>
      <c r="AP24" s="475"/>
      <c r="AQ24" s="476"/>
      <c r="AR24" s="466"/>
      <c r="AS24" s="467"/>
      <c r="AT24" s="467"/>
      <c r="AU24" s="467"/>
      <c r="AV24" s="467"/>
      <c r="AW24" s="468"/>
      <c r="AX24" s="32"/>
      <c r="AY24" s="33"/>
      <c r="AZ24" s="34"/>
    </row>
    <row r="25" spans="1:52" ht="23.25" customHeight="1" hidden="1">
      <c r="A25" s="130"/>
      <c r="B25" s="129" t="s">
        <v>153</v>
      </c>
      <c r="C25" s="155">
        <f>C24</f>
        <v>0.38495248559999995</v>
      </c>
      <c r="D25" s="340">
        <f aca="true" t="shared" si="7" ref="D25:Q25">D24</f>
        <v>0</v>
      </c>
      <c r="E25" s="155">
        <f t="shared" si="7"/>
        <v>0.05016128740799997</v>
      </c>
      <c r="F25" s="155">
        <f t="shared" si="7"/>
        <v>0.315661038192</v>
      </c>
      <c r="G25" s="155">
        <f t="shared" si="7"/>
        <v>0.01913016</v>
      </c>
      <c r="H25" s="340">
        <f t="shared" si="7"/>
        <v>0</v>
      </c>
      <c r="I25" s="340">
        <f t="shared" si="7"/>
        <v>0</v>
      </c>
      <c r="J25" s="340">
        <f t="shared" si="7"/>
        <v>0</v>
      </c>
      <c r="K25" s="340">
        <f t="shared" si="7"/>
        <v>0</v>
      </c>
      <c r="L25" s="340">
        <f t="shared" si="7"/>
        <v>0</v>
      </c>
      <c r="M25" s="347">
        <f t="shared" si="7"/>
        <v>-0.38495248559999995</v>
      </c>
      <c r="N25" s="340">
        <f t="shared" si="7"/>
        <v>0</v>
      </c>
      <c r="O25" s="347">
        <f t="shared" si="7"/>
        <v>-0.05016128740799997</v>
      </c>
      <c r="P25" s="347">
        <f t="shared" si="7"/>
        <v>-0.315661038192</v>
      </c>
      <c r="Q25" s="347">
        <f t="shared" si="7"/>
        <v>-0.01913016</v>
      </c>
      <c r="R25" s="340">
        <f t="shared" si="6"/>
        <v>0</v>
      </c>
      <c r="S25" s="340"/>
      <c r="T25" s="340"/>
      <c r="U25" s="340"/>
      <c r="V25" s="340"/>
      <c r="W25" s="361"/>
      <c r="X25" s="361"/>
      <c r="Y25" s="361"/>
      <c r="Z25" s="361"/>
      <c r="AA25" s="130"/>
      <c r="AB25" s="347"/>
      <c r="AC25" s="340"/>
      <c r="AD25" s="155"/>
      <c r="AE25" s="151"/>
      <c r="AF25" s="148"/>
      <c r="AG25" s="241"/>
      <c r="AH25" s="241"/>
      <c r="AI25" s="241"/>
      <c r="AJ25" s="242"/>
      <c r="AK25" s="148"/>
      <c r="AL25" s="241"/>
      <c r="AM25" s="241"/>
      <c r="AN25" s="241"/>
      <c r="AO25" s="242"/>
      <c r="AP25" s="153"/>
      <c r="AQ25" s="237"/>
      <c r="AR25" s="148"/>
      <c r="AS25" s="241"/>
      <c r="AT25" s="241"/>
      <c r="AU25" s="241"/>
      <c r="AV25" s="241"/>
      <c r="AW25" s="242"/>
      <c r="AX25" s="32"/>
      <c r="AY25" s="33"/>
      <c r="AZ25" s="34"/>
    </row>
    <row r="26" spans="1:52" ht="39" customHeight="1">
      <c r="A26" s="130" t="s">
        <v>117</v>
      </c>
      <c r="B26" s="131" t="s">
        <v>227</v>
      </c>
      <c r="C26" s="155">
        <f>751360.15/1000000*1.18</f>
        <v>0.886604977</v>
      </c>
      <c r="D26" s="340">
        <v>0</v>
      </c>
      <c r="E26" s="155">
        <f>C26-F26-G26-D26</f>
        <v>0.14932478563000007</v>
      </c>
      <c r="F26" s="155">
        <f>C26*81/100</f>
        <v>0.7181500313699999</v>
      </c>
      <c r="G26" s="155">
        <f>(14.181+2.031)/1000*1.18</f>
        <v>0.01913016</v>
      </c>
      <c r="H26" s="340">
        <f>'Исп инв прогр 7.1 '!F27</f>
        <v>0</v>
      </c>
      <c r="I26" s="340"/>
      <c r="J26" s="340"/>
      <c r="K26" s="340"/>
      <c r="L26" s="340"/>
      <c r="M26" s="347">
        <f>H26-C26</f>
        <v>-0.886604977</v>
      </c>
      <c r="N26" s="340">
        <f>I26-D26</f>
        <v>0</v>
      </c>
      <c r="O26" s="347">
        <f>J26-E26</f>
        <v>-0.14932478563000007</v>
      </c>
      <c r="P26" s="347">
        <f>K26-F26</f>
        <v>-0.7181500313699999</v>
      </c>
      <c r="Q26" s="347">
        <f>L26-G26</f>
        <v>-0.01913016</v>
      </c>
      <c r="R26" s="340">
        <f t="shared" si="6"/>
        <v>0</v>
      </c>
      <c r="S26" s="340"/>
      <c r="T26" s="340"/>
      <c r="U26" s="340"/>
      <c r="V26" s="340"/>
      <c r="W26" s="373">
        <v>2015</v>
      </c>
      <c r="X26" s="373">
        <v>2015</v>
      </c>
      <c r="Y26" s="373">
        <v>2015</v>
      </c>
      <c r="Z26" s="373">
        <v>2015</v>
      </c>
      <c r="AA26" s="130">
        <v>2015</v>
      </c>
      <c r="AB26" s="347">
        <v>25</v>
      </c>
      <c r="AC26" s="340"/>
      <c r="AD26" s="155"/>
      <c r="AE26" s="151"/>
      <c r="AF26" s="148"/>
      <c r="AG26" s="241"/>
      <c r="AH26" s="241"/>
      <c r="AI26" s="241"/>
      <c r="AJ26" s="242"/>
      <c r="AK26" s="148"/>
      <c r="AL26" s="241"/>
      <c r="AM26" s="241"/>
      <c r="AN26" s="241"/>
      <c r="AO26" s="242"/>
      <c r="AP26" s="153"/>
      <c r="AQ26" s="237"/>
      <c r="AR26" s="148"/>
      <c r="AS26" s="241"/>
      <c r="AT26" s="241"/>
      <c r="AU26" s="241"/>
      <c r="AV26" s="241"/>
      <c r="AW26" s="242"/>
      <c r="AX26" s="32"/>
      <c r="AY26" s="33"/>
      <c r="AZ26" s="34"/>
    </row>
    <row r="27" spans="1:52" ht="24" customHeight="1" hidden="1">
      <c r="A27" s="130"/>
      <c r="B27" s="129" t="s">
        <v>153</v>
      </c>
      <c r="C27" s="155">
        <f>C26</f>
        <v>0.886604977</v>
      </c>
      <c r="D27" s="340">
        <f aca="true" t="shared" si="8" ref="D27:Q27">D26</f>
        <v>0</v>
      </c>
      <c r="E27" s="155">
        <f t="shared" si="8"/>
        <v>0.14932478563000007</v>
      </c>
      <c r="F27" s="155">
        <f t="shared" si="8"/>
        <v>0.7181500313699999</v>
      </c>
      <c r="G27" s="155">
        <f t="shared" si="8"/>
        <v>0.01913016</v>
      </c>
      <c r="H27" s="340">
        <f t="shared" si="8"/>
        <v>0</v>
      </c>
      <c r="I27" s="340">
        <f t="shared" si="8"/>
        <v>0</v>
      </c>
      <c r="J27" s="340">
        <f t="shared" si="8"/>
        <v>0</v>
      </c>
      <c r="K27" s="340">
        <f t="shared" si="8"/>
        <v>0</v>
      </c>
      <c r="L27" s="340">
        <f t="shared" si="8"/>
        <v>0</v>
      </c>
      <c r="M27" s="347">
        <f t="shared" si="8"/>
        <v>-0.886604977</v>
      </c>
      <c r="N27" s="340">
        <f t="shared" si="8"/>
        <v>0</v>
      </c>
      <c r="O27" s="347">
        <f t="shared" si="8"/>
        <v>-0.14932478563000007</v>
      </c>
      <c r="P27" s="347">
        <f t="shared" si="8"/>
        <v>-0.7181500313699999</v>
      </c>
      <c r="Q27" s="347">
        <f t="shared" si="8"/>
        <v>-0.01913016</v>
      </c>
      <c r="R27" s="340">
        <f t="shared" si="6"/>
        <v>0</v>
      </c>
      <c r="S27" s="340"/>
      <c r="T27" s="340"/>
      <c r="U27" s="340"/>
      <c r="V27" s="340"/>
      <c r="W27" s="361"/>
      <c r="X27" s="361"/>
      <c r="Y27" s="361"/>
      <c r="Z27" s="361"/>
      <c r="AA27" s="130"/>
      <c r="AB27" s="347"/>
      <c r="AC27" s="340"/>
      <c r="AD27" s="155"/>
      <c r="AE27" s="151"/>
      <c r="AF27" s="148"/>
      <c r="AG27" s="241"/>
      <c r="AH27" s="241"/>
      <c r="AI27" s="241"/>
      <c r="AJ27" s="242"/>
      <c r="AK27" s="148"/>
      <c r="AL27" s="241"/>
      <c r="AM27" s="241"/>
      <c r="AN27" s="241"/>
      <c r="AO27" s="242"/>
      <c r="AP27" s="153"/>
      <c r="AQ27" s="237"/>
      <c r="AR27" s="148"/>
      <c r="AS27" s="241"/>
      <c r="AT27" s="241"/>
      <c r="AU27" s="241"/>
      <c r="AV27" s="241"/>
      <c r="AW27" s="242"/>
      <c r="AX27" s="32"/>
      <c r="AY27" s="33"/>
      <c r="AZ27" s="34"/>
    </row>
    <row r="28" spans="1:52" ht="42.75" customHeight="1">
      <c r="A28" s="130" t="s">
        <v>167</v>
      </c>
      <c r="B28" s="131" t="s">
        <v>154</v>
      </c>
      <c r="C28" s="155">
        <f>419610.74/1000000*1.18</f>
        <v>0.49514067319999994</v>
      </c>
      <c r="D28" s="340">
        <v>0</v>
      </c>
      <c r="E28" s="155">
        <f>C28-F28-G28-D28</f>
        <v>0.06999516117599996</v>
      </c>
      <c r="F28" s="155">
        <f>C28*82/100</f>
        <v>0.40601535202399996</v>
      </c>
      <c r="G28" s="155">
        <f>(14.181+2.031)/1000*1.18</f>
        <v>0.01913016</v>
      </c>
      <c r="H28" s="340">
        <f>'Исп инв прогр 7.1 '!F29</f>
        <v>0</v>
      </c>
      <c r="I28" s="340"/>
      <c r="J28" s="340"/>
      <c r="K28" s="340"/>
      <c r="L28" s="340"/>
      <c r="M28" s="347">
        <f>H28-C28</f>
        <v>-0.49514067319999994</v>
      </c>
      <c r="N28" s="340">
        <f>I28-D28</f>
        <v>0</v>
      </c>
      <c r="O28" s="347">
        <f>J28-E28</f>
        <v>-0.06999516117599996</v>
      </c>
      <c r="P28" s="347">
        <f>K28-F28</f>
        <v>-0.40601535202399996</v>
      </c>
      <c r="Q28" s="347">
        <f>L28-G28</f>
        <v>-0.01913016</v>
      </c>
      <c r="R28" s="340">
        <f t="shared" si="6"/>
        <v>0</v>
      </c>
      <c r="S28" s="340"/>
      <c r="T28" s="340"/>
      <c r="U28" s="340"/>
      <c r="V28" s="340"/>
      <c r="W28" s="361"/>
      <c r="X28" s="361"/>
      <c r="Y28" s="361"/>
      <c r="Z28" s="361"/>
      <c r="AA28" s="130">
        <v>2015</v>
      </c>
      <c r="AB28" s="347">
        <v>25</v>
      </c>
      <c r="AC28" s="340"/>
      <c r="AD28" s="155"/>
      <c r="AE28" s="151"/>
      <c r="AF28" s="148"/>
      <c r="AG28" s="241"/>
      <c r="AH28" s="241"/>
      <c r="AI28" s="241"/>
      <c r="AJ28" s="242"/>
      <c r="AK28" s="148"/>
      <c r="AL28" s="241"/>
      <c r="AM28" s="241"/>
      <c r="AN28" s="241"/>
      <c r="AO28" s="242"/>
      <c r="AP28" s="153"/>
      <c r="AQ28" s="237"/>
      <c r="AR28" s="148"/>
      <c r="AS28" s="241"/>
      <c r="AT28" s="241"/>
      <c r="AU28" s="241"/>
      <c r="AV28" s="241"/>
      <c r="AW28" s="242"/>
      <c r="AX28" s="32"/>
      <c r="AY28" s="33"/>
      <c r="AZ28" s="34"/>
    </row>
    <row r="29" spans="1:52" ht="25.5" customHeight="1" hidden="1">
      <c r="A29" s="130"/>
      <c r="B29" s="129" t="s">
        <v>153</v>
      </c>
      <c r="C29" s="155">
        <f>C28</f>
        <v>0.49514067319999994</v>
      </c>
      <c r="D29" s="155"/>
      <c r="E29" s="155">
        <f aca="true" t="shared" si="9" ref="E29:Q29">E28</f>
        <v>0.06999516117599996</v>
      </c>
      <c r="F29" s="155">
        <f t="shared" si="9"/>
        <v>0.40601535202399996</v>
      </c>
      <c r="G29" s="155">
        <f t="shared" si="9"/>
        <v>0.01913016</v>
      </c>
      <c r="H29" s="347">
        <f t="shared" si="9"/>
        <v>0</v>
      </c>
      <c r="I29" s="340">
        <f t="shared" si="9"/>
        <v>0</v>
      </c>
      <c r="J29" s="347">
        <f t="shared" si="9"/>
        <v>0</v>
      </c>
      <c r="K29" s="347">
        <f t="shared" si="9"/>
        <v>0</v>
      </c>
      <c r="L29" s="347">
        <f t="shared" si="9"/>
        <v>0</v>
      </c>
      <c r="M29" s="347">
        <f t="shared" si="9"/>
        <v>-0.49514067319999994</v>
      </c>
      <c r="N29" s="340">
        <f t="shared" si="9"/>
        <v>0</v>
      </c>
      <c r="O29" s="347">
        <f t="shared" si="9"/>
        <v>-0.06999516117599996</v>
      </c>
      <c r="P29" s="347">
        <f t="shared" si="9"/>
        <v>-0.40601535202399996</v>
      </c>
      <c r="Q29" s="347">
        <f t="shared" si="9"/>
        <v>-0.01913016</v>
      </c>
      <c r="R29" s="347">
        <f t="shared" si="6"/>
        <v>0</v>
      </c>
      <c r="S29" s="340">
        <f>S28</f>
        <v>0</v>
      </c>
      <c r="T29" s="347">
        <f>T28</f>
        <v>0</v>
      </c>
      <c r="U29" s="347">
        <f>U28</f>
        <v>0</v>
      </c>
      <c r="V29" s="347">
        <f>V28</f>
        <v>0</v>
      </c>
      <c r="W29" s="360"/>
      <c r="X29" s="360"/>
      <c r="Y29" s="360"/>
      <c r="Z29" s="360"/>
      <c r="AA29" s="130"/>
      <c r="AB29" s="347"/>
      <c r="AC29" s="340"/>
      <c r="AD29" s="155"/>
      <c r="AE29" s="151"/>
      <c r="AF29" s="148"/>
      <c r="AG29" s="241"/>
      <c r="AH29" s="241"/>
      <c r="AI29" s="241"/>
      <c r="AJ29" s="242"/>
      <c r="AK29" s="148"/>
      <c r="AL29" s="241"/>
      <c r="AM29" s="241"/>
      <c r="AN29" s="241"/>
      <c r="AO29" s="242"/>
      <c r="AP29" s="153"/>
      <c r="AQ29" s="237"/>
      <c r="AR29" s="148"/>
      <c r="AS29" s="241"/>
      <c r="AT29" s="241"/>
      <c r="AU29" s="241"/>
      <c r="AV29" s="241"/>
      <c r="AW29" s="242"/>
      <c r="AX29" s="32"/>
      <c r="AY29" s="33"/>
      <c r="AZ29" s="34"/>
    </row>
    <row r="30" spans="1:52" ht="33" customHeight="1">
      <c r="A30" s="130" t="s">
        <v>218</v>
      </c>
      <c r="B30" s="131" t="s">
        <v>216</v>
      </c>
      <c r="C30" s="155">
        <v>0</v>
      </c>
      <c r="D30" s="373">
        <v>0</v>
      </c>
      <c r="E30" s="155">
        <f>C30-F30-G30-D30</f>
        <v>0</v>
      </c>
      <c r="F30" s="155">
        <v>0</v>
      </c>
      <c r="G30" s="155">
        <v>0</v>
      </c>
      <c r="H30" s="347">
        <f>(224717+124432)/1000000*1.18</f>
        <v>0.41199581999999996</v>
      </c>
      <c r="I30" s="340">
        <v>0</v>
      </c>
      <c r="J30" s="347">
        <f>(33747+64709)/1000000*1.18</f>
        <v>0.11617807999999999</v>
      </c>
      <c r="K30" s="347">
        <f>(124432+112987.29)/1000000*1.18</f>
        <v>0.28015476219999996</v>
      </c>
      <c r="L30" s="347">
        <f>H30-I30-J30-K30</f>
        <v>0.015662977799999978</v>
      </c>
      <c r="M30" s="347">
        <f aca="true" t="shared" si="10" ref="M30:Q31">H30-C30</f>
        <v>0.41199581999999996</v>
      </c>
      <c r="N30" s="340">
        <f t="shared" si="10"/>
        <v>0</v>
      </c>
      <c r="O30" s="347">
        <f t="shared" si="10"/>
        <v>0.11617807999999999</v>
      </c>
      <c r="P30" s="347">
        <f t="shared" si="10"/>
        <v>0.28015476219999996</v>
      </c>
      <c r="Q30" s="347">
        <f t="shared" si="10"/>
        <v>0.015662977799999978</v>
      </c>
      <c r="R30" s="347">
        <f>(224717+124432)/1000000*1.18</f>
        <v>0.41199581999999996</v>
      </c>
      <c r="S30" s="340">
        <v>0</v>
      </c>
      <c r="T30" s="347">
        <f>(33747+64709)/1000000*1.18</f>
        <v>0.11617807999999999</v>
      </c>
      <c r="U30" s="347">
        <f>(124432+112987.29)/1000000*1.18</f>
        <v>0.28015476219999996</v>
      </c>
      <c r="V30" s="347">
        <f>R30-S30-T30-U30</f>
        <v>0.015662977799999978</v>
      </c>
      <c r="W30" s="360"/>
      <c r="X30" s="360"/>
      <c r="Y30" s="360"/>
      <c r="Z30" s="360"/>
      <c r="AA30" s="130">
        <v>2015</v>
      </c>
      <c r="AB30" s="347">
        <v>25</v>
      </c>
      <c r="AC30" s="340">
        <v>1</v>
      </c>
      <c r="AD30" s="155">
        <f>AC30*160*0.89/1000</f>
        <v>0.1424</v>
      </c>
      <c r="AE30" s="151"/>
      <c r="AF30" s="148"/>
      <c r="AG30" s="241"/>
      <c r="AH30" s="241"/>
      <c r="AI30" s="241"/>
      <c r="AJ30" s="242"/>
      <c r="AK30" s="148"/>
      <c r="AL30" s="241"/>
      <c r="AM30" s="241"/>
      <c r="AN30" s="241"/>
      <c r="AO30" s="242"/>
      <c r="AP30" s="153"/>
      <c r="AQ30" s="237"/>
      <c r="AR30" s="148"/>
      <c r="AS30" s="241"/>
      <c r="AT30" s="241"/>
      <c r="AU30" s="241"/>
      <c r="AV30" s="241"/>
      <c r="AW30" s="242"/>
      <c r="AX30" s="32"/>
      <c r="AY30" s="33"/>
      <c r="AZ30" s="34"/>
    </row>
    <row r="31" spans="1:52" ht="34.5" customHeight="1">
      <c r="A31" s="130" t="s">
        <v>168</v>
      </c>
      <c r="B31" s="131" t="s">
        <v>155</v>
      </c>
      <c r="C31" s="155">
        <f>501838.5/1000000*1.18</f>
        <v>0.5921694299999999</v>
      </c>
      <c r="D31" s="373">
        <v>0</v>
      </c>
      <c r="E31" s="155">
        <f>C31-F31-G31-D31</f>
        <v>0.08746033739999992</v>
      </c>
      <c r="F31" s="155">
        <f>C31*82/100</f>
        <v>0.48557893259999996</v>
      </c>
      <c r="G31" s="155">
        <f>(14.181+2.031)/1000*1.18</f>
        <v>0.01913016</v>
      </c>
      <c r="H31" s="347">
        <f>'Исп инв прогр 7.1 '!F33</f>
        <v>0.18209406</v>
      </c>
      <c r="I31" s="340">
        <f>H31-L31-K31-J31</f>
        <v>0</v>
      </c>
      <c r="J31" s="347">
        <f>H31-L31-K31</f>
        <v>0.009240880000000007</v>
      </c>
      <c r="K31" s="347">
        <f>(141401)/1000000*1.18</f>
        <v>0.16685318</v>
      </c>
      <c r="L31" s="347">
        <v>0.006</v>
      </c>
      <c r="M31" s="347">
        <f t="shared" si="10"/>
        <v>-0.4100753699999999</v>
      </c>
      <c r="N31" s="340">
        <f t="shared" si="10"/>
        <v>0</v>
      </c>
      <c r="O31" s="347">
        <f t="shared" si="10"/>
        <v>-0.07821945739999991</v>
      </c>
      <c r="P31" s="347">
        <f t="shared" si="10"/>
        <v>-0.31872575259999997</v>
      </c>
      <c r="Q31" s="347">
        <f t="shared" si="10"/>
        <v>-0.01313016</v>
      </c>
      <c r="R31" s="347">
        <f>H31</f>
        <v>0.18209406</v>
      </c>
      <c r="S31" s="340">
        <f>R31-V31-U31-T31</f>
        <v>0</v>
      </c>
      <c r="T31" s="347">
        <f>R31-V31-U31</f>
        <v>0.009240880000000007</v>
      </c>
      <c r="U31" s="347">
        <f>(141401)/1000000*1.18</f>
        <v>0.16685318</v>
      </c>
      <c r="V31" s="347">
        <v>0.006</v>
      </c>
      <c r="W31" s="360"/>
      <c r="X31" s="360"/>
      <c r="Y31" s="360"/>
      <c r="Z31" s="360"/>
      <c r="AA31" s="130">
        <v>2015</v>
      </c>
      <c r="AB31" s="347">
        <v>25</v>
      </c>
      <c r="AC31" s="340">
        <v>1</v>
      </c>
      <c r="AD31" s="155">
        <f>AC31*250*0.89/1000</f>
        <v>0.2225</v>
      </c>
      <c r="AE31" s="151"/>
      <c r="AF31" s="148"/>
      <c r="AG31" s="241"/>
      <c r="AH31" s="241"/>
      <c r="AI31" s="241"/>
      <c r="AJ31" s="242"/>
      <c r="AK31" s="148"/>
      <c r="AL31" s="241"/>
      <c r="AM31" s="241"/>
      <c r="AN31" s="241"/>
      <c r="AO31" s="242"/>
      <c r="AP31" s="153"/>
      <c r="AQ31" s="237"/>
      <c r="AR31" s="148"/>
      <c r="AS31" s="241"/>
      <c r="AT31" s="241"/>
      <c r="AU31" s="241"/>
      <c r="AV31" s="241"/>
      <c r="AW31" s="242"/>
      <c r="AX31" s="32"/>
      <c r="AY31" s="33"/>
      <c r="AZ31" s="34"/>
    </row>
    <row r="32" spans="1:52" ht="19.5" customHeight="1" hidden="1">
      <c r="A32" s="130"/>
      <c r="B32" s="129" t="s">
        <v>153</v>
      </c>
      <c r="C32" s="155">
        <f>C31</f>
        <v>0.5921694299999999</v>
      </c>
      <c r="D32" s="373"/>
      <c r="E32" s="155">
        <f aca="true" t="shared" si="11" ref="E32:Q32">E31</f>
        <v>0.08746033739999992</v>
      </c>
      <c r="F32" s="155">
        <f t="shared" si="11"/>
        <v>0.48557893259999996</v>
      </c>
      <c r="G32" s="155">
        <f t="shared" si="11"/>
        <v>0.01913016</v>
      </c>
      <c r="H32" s="347">
        <f t="shared" si="11"/>
        <v>0.18209406</v>
      </c>
      <c r="I32" s="340">
        <f t="shared" si="11"/>
        <v>0</v>
      </c>
      <c r="J32" s="347">
        <f t="shared" si="11"/>
        <v>0.009240880000000007</v>
      </c>
      <c r="K32" s="347">
        <f t="shared" si="11"/>
        <v>0.16685318</v>
      </c>
      <c r="L32" s="347">
        <f t="shared" si="11"/>
        <v>0.006</v>
      </c>
      <c r="M32" s="347">
        <f t="shared" si="11"/>
        <v>-0.4100753699999999</v>
      </c>
      <c r="N32" s="340">
        <f t="shared" si="11"/>
        <v>0</v>
      </c>
      <c r="O32" s="347">
        <f t="shared" si="11"/>
        <v>-0.07821945739999991</v>
      </c>
      <c r="P32" s="347">
        <f t="shared" si="11"/>
        <v>-0.31872575259999997</v>
      </c>
      <c r="Q32" s="347">
        <f t="shared" si="11"/>
        <v>-0.01313016</v>
      </c>
      <c r="R32" s="347">
        <f t="shared" si="6"/>
        <v>0.18209406</v>
      </c>
      <c r="S32" s="340">
        <f>S31</f>
        <v>0</v>
      </c>
      <c r="T32" s="347">
        <f>T31</f>
        <v>0.009240880000000007</v>
      </c>
      <c r="U32" s="347">
        <f>U31</f>
        <v>0.16685318</v>
      </c>
      <c r="V32" s="347">
        <f>V31</f>
        <v>0.006</v>
      </c>
      <c r="W32" s="360"/>
      <c r="X32" s="360"/>
      <c r="Y32" s="360"/>
      <c r="Z32" s="360"/>
      <c r="AA32" s="130"/>
      <c r="AB32" s="347"/>
      <c r="AC32" s="340"/>
      <c r="AD32" s="155"/>
      <c r="AE32" s="151"/>
      <c r="AF32" s="148"/>
      <c r="AG32" s="241"/>
      <c r="AH32" s="241"/>
      <c r="AI32" s="241"/>
      <c r="AJ32" s="242"/>
      <c r="AK32" s="148"/>
      <c r="AL32" s="241"/>
      <c r="AM32" s="241"/>
      <c r="AN32" s="241"/>
      <c r="AO32" s="242"/>
      <c r="AP32" s="153"/>
      <c r="AQ32" s="237"/>
      <c r="AR32" s="148"/>
      <c r="AS32" s="241"/>
      <c r="AT32" s="241"/>
      <c r="AU32" s="241"/>
      <c r="AV32" s="241"/>
      <c r="AW32" s="242"/>
      <c r="AX32" s="32"/>
      <c r="AY32" s="33"/>
      <c r="AZ32" s="34"/>
    </row>
    <row r="33" spans="1:52" ht="34.5" customHeight="1">
      <c r="A33" s="130" t="s">
        <v>214</v>
      </c>
      <c r="B33" s="131" t="s">
        <v>226</v>
      </c>
      <c r="C33" s="155">
        <f>'Исп инв прогр 7.1 '!E39</f>
        <v>0</v>
      </c>
      <c r="D33" s="373">
        <v>0</v>
      </c>
      <c r="E33" s="155"/>
      <c r="F33" s="155"/>
      <c r="G33" s="155"/>
      <c r="H33" s="347">
        <f>'Исп инв прогр 7.1 '!F39</f>
        <v>3.33166982</v>
      </c>
      <c r="I33" s="340">
        <f>H33-L33-K33-J33</f>
        <v>0</v>
      </c>
      <c r="J33" s="347">
        <f>(391735+88418)/1000000*1.18</f>
        <v>0.56658054</v>
      </c>
      <c r="K33" s="347">
        <f>(1571135.59+329555+329555+16130)/1000000*1.18</f>
        <v>2.6507231962</v>
      </c>
      <c r="L33" s="347">
        <f>H33-J33-K33</f>
        <v>0.11436608380000024</v>
      </c>
      <c r="M33" s="347">
        <f aca="true" t="shared" si="12" ref="M33:Q34">H33-C33</f>
        <v>3.33166982</v>
      </c>
      <c r="N33" s="340">
        <f t="shared" si="12"/>
        <v>0</v>
      </c>
      <c r="O33" s="347">
        <f t="shared" si="12"/>
        <v>0.56658054</v>
      </c>
      <c r="P33" s="347">
        <f t="shared" si="12"/>
        <v>2.6507231962</v>
      </c>
      <c r="Q33" s="347">
        <f t="shared" si="12"/>
        <v>0.11436608380000024</v>
      </c>
      <c r="R33" s="347">
        <f>S33+T33+U33+V33</f>
        <v>3.33166982</v>
      </c>
      <c r="S33" s="340">
        <f>I33</f>
        <v>0</v>
      </c>
      <c r="T33" s="347">
        <f>J33</f>
        <v>0.56658054</v>
      </c>
      <c r="U33" s="347">
        <f>K33</f>
        <v>2.6507231962</v>
      </c>
      <c r="V33" s="347">
        <f>L33</f>
        <v>0.11436608380000024</v>
      </c>
      <c r="W33" s="155">
        <v>2015</v>
      </c>
      <c r="X33" s="155">
        <v>2015</v>
      </c>
      <c r="Y33" s="155">
        <v>2015</v>
      </c>
      <c r="Z33" s="155">
        <v>2015</v>
      </c>
      <c r="AA33" s="130">
        <v>2015</v>
      </c>
      <c r="AB33" s="347">
        <v>25</v>
      </c>
      <c r="AC33" s="340">
        <v>2</v>
      </c>
      <c r="AD33" s="155">
        <f>AC33*630*0.89/1000</f>
        <v>1.1214000000000002</v>
      </c>
      <c r="AE33" s="151"/>
      <c r="AF33" s="148"/>
      <c r="AG33" s="241"/>
      <c r="AH33" s="241"/>
      <c r="AI33" s="241"/>
      <c r="AJ33" s="242"/>
      <c r="AK33" s="148"/>
      <c r="AL33" s="241"/>
      <c r="AM33" s="241"/>
      <c r="AN33" s="241"/>
      <c r="AO33" s="242"/>
      <c r="AP33" s="153"/>
      <c r="AQ33" s="237"/>
      <c r="AR33" s="148"/>
      <c r="AS33" s="241"/>
      <c r="AT33" s="241"/>
      <c r="AU33" s="241"/>
      <c r="AV33" s="241"/>
      <c r="AW33" s="242"/>
      <c r="AX33" s="32"/>
      <c r="AY33" s="33"/>
      <c r="AZ33" s="34"/>
    </row>
    <row r="34" spans="1:52" ht="43.5" customHeight="1">
      <c r="A34" s="130" t="s">
        <v>169</v>
      </c>
      <c r="B34" s="131" t="s">
        <v>148</v>
      </c>
      <c r="C34" s="155">
        <f>5421588.05/1000000*1.18</f>
        <v>6.3974738989999995</v>
      </c>
      <c r="D34" s="373">
        <v>0</v>
      </c>
      <c r="E34" s="155">
        <f>C34-F34-G34-D34</f>
        <v>0.5665289799000002</v>
      </c>
      <c r="F34" s="155">
        <f>C34*90/100</f>
        <v>5.757726509099999</v>
      </c>
      <c r="G34" s="155">
        <f>(54.277+7.7725)/1000*1.18</f>
        <v>0.07321841</v>
      </c>
      <c r="H34" s="340">
        <f>'Исп инв прогр 7.1 '!F41</f>
        <v>0</v>
      </c>
      <c r="I34" s="347"/>
      <c r="J34" s="347"/>
      <c r="K34" s="347"/>
      <c r="L34" s="347"/>
      <c r="M34" s="347">
        <f t="shared" si="12"/>
        <v>-6.3974738989999995</v>
      </c>
      <c r="N34" s="340">
        <f t="shared" si="12"/>
        <v>0</v>
      </c>
      <c r="O34" s="347">
        <f t="shared" si="12"/>
        <v>-0.5665289799000002</v>
      </c>
      <c r="P34" s="347">
        <f t="shared" si="12"/>
        <v>-5.757726509099999</v>
      </c>
      <c r="Q34" s="347">
        <f t="shared" si="12"/>
        <v>-0.07321841</v>
      </c>
      <c r="R34" s="340">
        <f t="shared" si="6"/>
        <v>0</v>
      </c>
      <c r="S34" s="340"/>
      <c r="T34" s="340"/>
      <c r="U34" s="340"/>
      <c r="V34" s="340"/>
      <c r="W34" s="360"/>
      <c r="X34" s="360"/>
      <c r="Y34" s="360"/>
      <c r="Z34" s="360"/>
      <c r="AA34" s="130">
        <v>2015</v>
      </c>
      <c r="AB34" s="347">
        <v>25</v>
      </c>
      <c r="AC34" s="340"/>
      <c r="AD34" s="155"/>
      <c r="AE34" s="151"/>
      <c r="AF34" s="148"/>
      <c r="AG34" s="241"/>
      <c r="AH34" s="241"/>
      <c r="AI34" s="241"/>
      <c r="AJ34" s="242"/>
      <c r="AK34" s="148"/>
      <c r="AL34" s="241"/>
      <c r="AM34" s="241"/>
      <c r="AN34" s="241"/>
      <c r="AO34" s="242"/>
      <c r="AP34" s="153"/>
      <c r="AQ34" s="237"/>
      <c r="AR34" s="148"/>
      <c r="AS34" s="241"/>
      <c r="AT34" s="241"/>
      <c r="AU34" s="241"/>
      <c r="AV34" s="241"/>
      <c r="AW34" s="242"/>
      <c r="AX34" s="32"/>
      <c r="AY34" s="33"/>
      <c r="AZ34" s="34"/>
    </row>
    <row r="35" spans="1:52" ht="23.25" customHeight="1" hidden="1">
      <c r="A35" s="130"/>
      <c r="B35" s="133" t="s">
        <v>153</v>
      </c>
      <c r="C35" s="155">
        <f>C34</f>
        <v>6.3974738989999995</v>
      </c>
      <c r="D35" s="389"/>
      <c r="E35" s="389">
        <f aca="true" t="shared" si="13" ref="E35:Q35">E34</f>
        <v>0.5665289799000002</v>
      </c>
      <c r="F35" s="389">
        <f t="shared" si="13"/>
        <v>5.757726509099999</v>
      </c>
      <c r="G35" s="389">
        <f t="shared" si="13"/>
        <v>0.07321841</v>
      </c>
      <c r="H35" s="341">
        <f t="shared" si="13"/>
        <v>0</v>
      </c>
      <c r="I35" s="341">
        <f t="shared" si="13"/>
        <v>0</v>
      </c>
      <c r="J35" s="341">
        <f t="shared" si="13"/>
        <v>0</v>
      </c>
      <c r="K35" s="341">
        <f t="shared" si="13"/>
        <v>0</v>
      </c>
      <c r="L35" s="341">
        <f t="shared" si="13"/>
        <v>0</v>
      </c>
      <c r="M35" s="337">
        <f t="shared" si="13"/>
        <v>-6.3974738989999995</v>
      </c>
      <c r="N35" s="340">
        <f t="shared" si="13"/>
        <v>0</v>
      </c>
      <c r="O35" s="347">
        <f t="shared" si="13"/>
        <v>-0.5665289799000002</v>
      </c>
      <c r="P35" s="347">
        <f t="shared" si="13"/>
        <v>-5.757726509099999</v>
      </c>
      <c r="Q35" s="347">
        <f t="shared" si="13"/>
        <v>-0.07321841</v>
      </c>
      <c r="R35" s="340">
        <f t="shared" si="6"/>
        <v>0</v>
      </c>
      <c r="S35" s="340">
        <f>S34</f>
        <v>0</v>
      </c>
      <c r="T35" s="340">
        <f>T34</f>
        <v>0</v>
      </c>
      <c r="U35" s="340">
        <f>U34</f>
        <v>0</v>
      </c>
      <c r="V35" s="340">
        <f>V34</f>
        <v>0</v>
      </c>
      <c r="W35" s="391"/>
      <c r="X35" s="391"/>
      <c r="Y35" s="391"/>
      <c r="Z35" s="391"/>
      <c r="AA35" s="392"/>
      <c r="AB35" s="348"/>
      <c r="AC35" s="390"/>
      <c r="AD35" s="389"/>
      <c r="AE35" s="151"/>
      <c r="AF35" s="148"/>
      <c r="AG35" s="241"/>
      <c r="AH35" s="241"/>
      <c r="AI35" s="241"/>
      <c r="AJ35" s="242"/>
      <c r="AK35" s="148"/>
      <c r="AL35" s="241"/>
      <c r="AM35" s="241"/>
      <c r="AN35" s="241"/>
      <c r="AO35" s="242"/>
      <c r="AP35" s="153"/>
      <c r="AQ35" s="237"/>
      <c r="AR35" s="148"/>
      <c r="AS35" s="241"/>
      <c r="AT35" s="241"/>
      <c r="AU35" s="241"/>
      <c r="AV35" s="241"/>
      <c r="AW35" s="242"/>
      <c r="AX35" s="32"/>
      <c r="AY35" s="33"/>
      <c r="AZ35" s="34"/>
    </row>
    <row r="36" spans="1:52" ht="21.75" customHeight="1">
      <c r="A36" s="462" t="s">
        <v>139</v>
      </c>
      <c r="B36" s="462" t="s">
        <v>99</v>
      </c>
      <c r="C36" s="442" t="s">
        <v>27</v>
      </c>
      <c r="D36" s="443"/>
      <c r="E36" s="443"/>
      <c r="F36" s="443"/>
      <c r="G36" s="443"/>
      <c r="H36" s="442" t="s">
        <v>77</v>
      </c>
      <c r="I36" s="443"/>
      <c r="J36" s="443"/>
      <c r="K36" s="443"/>
      <c r="L36" s="443"/>
      <c r="M36" s="442" t="s">
        <v>136</v>
      </c>
      <c r="N36" s="443"/>
      <c r="O36" s="443"/>
      <c r="P36" s="443"/>
      <c r="Q36" s="443"/>
      <c r="R36" s="442" t="s">
        <v>137</v>
      </c>
      <c r="S36" s="443"/>
      <c r="T36" s="443"/>
      <c r="U36" s="443"/>
      <c r="V36" s="446"/>
      <c r="W36" s="448" t="s">
        <v>78</v>
      </c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50"/>
    </row>
    <row r="37" spans="1:52" ht="52.5" customHeight="1">
      <c r="A37" s="463"/>
      <c r="B37" s="463"/>
      <c r="C37" s="444"/>
      <c r="D37" s="445"/>
      <c r="E37" s="445"/>
      <c r="F37" s="445"/>
      <c r="G37" s="445"/>
      <c r="H37" s="444"/>
      <c r="I37" s="445"/>
      <c r="J37" s="445"/>
      <c r="K37" s="445"/>
      <c r="L37" s="445"/>
      <c r="M37" s="444"/>
      <c r="N37" s="445"/>
      <c r="O37" s="445"/>
      <c r="P37" s="445"/>
      <c r="Q37" s="445"/>
      <c r="R37" s="444"/>
      <c r="S37" s="445"/>
      <c r="T37" s="445"/>
      <c r="U37" s="445"/>
      <c r="V37" s="447"/>
      <c r="W37" s="451" t="s">
        <v>28</v>
      </c>
      <c r="X37" s="452"/>
      <c r="Y37" s="452"/>
      <c r="Z37" s="452"/>
      <c r="AA37" s="448" t="s">
        <v>29</v>
      </c>
      <c r="AB37" s="449"/>
      <c r="AC37" s="449"/>
      <c r="AD37" s="449"/>
      <c r="AE37" s="448" t="s">
        <v>30</v>
      </c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50"/>
      <c r="AX37" s="453" t="s">
        <v>31</v>
      </c>
      <c r="AY37" s="454"/>
      <c r="AZ37" s="455"/>
    </row>
    <row r="38" spans="1:52" ht="108.75" customHeight="1">
      <c r="A38" s="464"/>
      <c r="B38" s="465"/>
      <c r="C38" s="29" t="s">
        <v>6</v>
      </c>
      <c r="D38" s="29" t="s">
        <v>32</v>
      </c>
      <c r="E38" s="29" t="s">
        <v>33</v>
      </c>
      <c r="F38" s="30" t="s">
        <v>34</v>
      </c>
      <c r="G38" s="29" t="s">
        <v>35</v>
      </c>
      <c r="H38" s="29" t="s">
        <v>6</v>
      </c>
      <c r="I38" s="29" t="s">
        <v>32</v>
      </c>
      <c r="J38" s="29" t="s">
        <v>33</v>
      </c>
      <c r="K38" s="30" t="s">
        <v>34</v>
      </c>
      <c r="L38" s="29" t="s">
        <v>35</v>
      </c>
      <c r="M38" s="29" t="s">
        <v>6</v>
      </c>
      <c r="N38" s="29" t="s">
        <v>32</v>
      </c>
      <c r="O38" s="29" t="s">
        <v>33</v>
      </c>
      <c r="P38" s="30" t="s">
        <v>34</v>
      </c>
      <c r="Q38" s="29" t="s">
        <v>35</v>
      </c>
      <c r="R38" s="29" t="s">
        <v>6</v>
      </c>
      <c r="S38" s="29" t="s">
        <v>32</v>
      </c>
      <c r="T38" s="29" t="s">
        <v>33</v>
      </c>
      <c r="U38" s="30" t="s">
        <v>34</v>
      </c>
      <c r="V38" s="29" t="s">
        <v>35</v>
      </c>
      <c r="W38" s="31" t="s">
        <v>36</v>
      </c>
      <c r="X38" s="31" t="s">
        <v>37</v>
      </c>
      <c r="Y38" s="31" t="s">
        <v>38</v>
      </c>
      <c r="Z38" s="31" t="s">
        <v>39</v>
      </c>
      <c r="AA38" s="30" t="s">
        <v>130</v>
      </c>
      <c r="AB38" s="30" t="s">
        <v>37</v>
      </c>
      <c r="AC38" s="20" t="s">
        <v>79</v>
      </c>
      <c r="AD38" s="30" t="s">
        <v>40</v>
      </c>
      <c r="AE38" s="30" t="s">
        <v>36</v>
      </c>
      <c r="AF38" s="459" t="s">
        <v>37</v>
      </c>
      <c r="AG38" s="460"/>
      <c r="AH38" s="460"/>
      <c r="AI38" s="460"/>
      <c r="AJ38" s="461"/>
      <c r="AK38" s="459" t="s">
        <v>41</v>
      </c>
      <c r="AL38" s="460"/>
      <c r="AM38" s="460"/>
      <c r="AN38" s="460"/>
      <c r="AO38" s="461"/>
      <c r="AP38" s="459" t="s">
        <v>122</v>
      </c>
      <c r="AQ38" s="461"/>
      <c r="AR38" s="439" t="s">
        <v>42</v>
      </c>
      <c r="AS38" s="440"/>
      <c r="AT38" s="440"/>
      <c r="AU38" s="440"/>
      <c r="AV38" s="440"/>
      <c r="AW38" s="441"/>
      <c r="AX38" s="456"/>
      <c r="AY38" s="457"/>
      <c r="AZ38" s="458"/>
    </row>
    <row r="39" spans="1:52" ht="26.25" customHeight="1">
      <c r="A39" s="157"/>
      <c r="B39" s="125" t="s">
        <v>116</v>
      </c>
      <c r="C39" s="158"/>
      <c r="D39" s="393"/>
      <c r="E39" s="393"/>
      <c r="F39" s="393"/>
      <c r="G39" s="393"/>
      <c r="H39" s="394"/>
      <c r="I39" s="394"/>
      <c r="J39" s="394"/>
      <c r="K39" s="394"/>
      <c r="L39" s="394"/>
      <c r="M39" s="393"/>
      <c r="N39" s="328"/>
      <c r="O39" s="328"/>
      <c r="P39" s="328"/>
      <c r="Q39" s="328"/>
      <c r="R39" s="325"/>
      <c r="S39" s="325"/>
      <c r="T39" s="325"/>
      <c r="U39" s="325"/>
      <c r="V39" s="325"/>
      <c r="W39" s="386"/>
      <c r="X39" s="386"/>
      <c r="Y39" s="386"/>
      <c r="Z39" s="386"/>
      <c r="AA39" s="395"/>
      <c r="AB39" s="386"/>
      <c r="AC39" s="386"/>
      <c r="AD39" s="386"/>
      <c r="AE39" s="160"/>
      <c r="AF39" s="481"/>
      <c r="AG39" s="482"/>
      <c r="AH39" s="482"/>
      <c r="AI39" s="482"/>
      <c r="AJ39" s="483"/>
      <c r="AK39" s="481"/>
      <c r="AL39" s="482"/>
      <c r="AM39" s="482"/>
      <c r="AN39" s="482"/>
      <c r="AO39" s="483"/>
      <c r="AP39" s="484"/>
      <c r="AQ39" s="485"/>
      <c r="AR39" s="481"/>
      <c r="AS39" s="482"/>
      <c r="AT39" s="482"/>
      <c r="AU39" s="482"/>
      <c r="AV39" s="482"/>
      <c r="AW39" s="483"/>
      <c r="AX39" s="159"/>
      <c r="AY39" s="161"/>
      <c r="AZ39" s="162"/>
    </row>
    <row r="40" spans="1:52" ht="37.5" customHeight="1">
      <c r="A40" s="93" t="s">
        <v>170</v>
      </c>
      <c r="B40" s="377" t="s">
        <v>228</v>
      </c>
      <c r="C40" s="330">
        <f>9594020/1000000*1.18</f>
        <v>11.3209436</v>
      </c>
      <c r="D40" s="409">
        <v>0</v>
      </c>
      <c r="E40" s="387">
        <f>C40-F40-G40-D40</f>
        <v>2.892230976</v>
      </c>
      <c r="F40" s="396">
        <f>C40*74/100</f>
        <v>8.377498264</v>
      </c>
      <c r="G40" s="387">
        <f>(40.242+3.16)/1000*1.18</f>
        <v>0.05121436</v>
      </c>
      <c r="H40" s="331">
        <f>'Исп инв прогр 7.1 '!F44</f>
        <v>1.22693568</v>
      </c>
      <c r="I40" s="385">
        <v>0</v>
      </c>
      <c r="J40" s="331">
        <f>H40-L40-K40</f>
        <v>0.6350317035955055</v>
      </c>
      <c r="K40" s="333">
        <f>F40/14.24</f>
        <v>0.5883074623595506</v>
      </c>
      <c r="L40" s="331">
        <f>G40/14.24</f>
        <v>0.0035965140449438202</v>
      </c>
      <c r="M40" s="331">
        <f>H40-C40</f>
        <v>-10.09400792</v>
      </c>
      <c r="N40" s="77">
        <f>I40-D40</f>
        <v>0</v>
      </c>
      <c r="O40" s="333">
        <f>J40-E40</f>
        <v>-2.2571992724044945</v>
      </c>
      <c r="P40" s="333">
        <f>K40-F40</f>
        <v>-7.78919080164045</v>
      </c>
      <c r="Q40" s="333">
        <f>L40-G40</f>
        <v>-0.04761784595505618</v>
      </c>
      <c r="R40" s="397">
        <f>S40+T40+U40+V40</f>
        <v>1.22693568</v>
      </c>
      <c r="S40" s="398">
        <f>I40</f>
        <v>0</v>
      </c>
      <c r="T40" s="397">
        <f>J40</f>
        <v>0.6350317035955055</v>
      </c>
      <c r="U40" s="397">
        <f>K40</f>
        <v>0.5883074623595506</v>
      </c>
      <c r="V40" s="397">
        <f>L40</f>
        <v>0.0035965140449438202</v>
      </c>
      <c r="W40" s="384"/>
      <c r="X40" s="384"/>
      <c r="Y40" s="384"/>
      <c r="Z40" s="384"/>
      <c r="AA40" s="388"/>
      <c r="AB40" s="384"/>
      <c r="AC40" s="384"/>
      <c r="AD40" s="140">
        <f>(15+15+14+15+15+15+15+15+15+5+15+5+15+8+10)/1000</f>
        <v>0.192</v>
      </c>
      <c r="AE40" s="36">
        <v>2015</v>
      </c>
      <c r="AF40" s="504">
        <v>15</v>
      </c>
      <c r="AG40" s="505"/>
      <c r="AH40" s="505"/>
      <c r="AI40" s="505"/>
      <c r="AJ40" s="506"/>
      <c r="AK40" s="488" t="s">
        <v>120</v>
      </c>
      <c r="AL40" s="489"/>
      <c r="AM40" s="489"/>
      <c r="AN40" s="489"/>
      <c r="AO40" s="490"/>
      <c r="AP40" s="493" t="s">
        <v>181</v>
      </c>
      <c r="AQ40" s="494"/>
      <c r="AR40" s="513">
        <f>(210+190.5+31+135+200+231+113+116+80+232+276+60+135.1+360.5+45)/1000</f>
        <v>2.4151</v>
      </c>
      <c r="AS40" s="511"/>
      <c r="AT40" s="511"/>
      <c r="AU40" s="511"/>
      <c r="AV40" s="511"/>
      <c r="AW40" s="512"/>
      <c r="AX40" s="32"/>
      <c r="AY40" s="33"/>
      <c r="AZ40" s="34"/>
    </row>
    <row r="41" spans="1:52" ht="54" customHeight="1">
      <c r="A41" s="93" t="s">
        <v>171</v>
      </c>
      <c r="B41" s="378" t="s">
        <v>229</v>
      </c>
      <c r="C41" s="155">
        <f>((0.5*587973.41)+54272.59+40513.48)/1000000*1.18</f>
        <v>0.4587518745</v>
      </c>
      <c r="D41" s="376">
        <v>0</v>
      </c>
      <c r="E41" s="389">
        <f>C41-F41-G41-D41</f>
        <v>0.06806112737000004</v>
      </c>
      <c r="F41" s="389">
        <f>C41*74/100</f>
        <v>0.33947638712999995</v>
      </c>
      <c r="G41" s="389">
        <f>(40.242+3.16)/1000*1.18</f>
        <v>0.05121436</v>
      </c>
      <c r="H41" s="337">
        <f>'Исп инв прогр 7.1 '!F45</f>
        <v>2.43608522</v>
      </c>
      <c r="I41" s="390">
        <v>0</v>
      </c>
      <c r="J41" s="337">
        <f>H41-L41-K41</f>
        <v>2.267077832</v>
      </c>
      <c r="K41" s="390">
        <f>G41*1.65</f>
        <v>0.08450369399999999</v>
      </c>
      <c r="L41" s="337">
        <f>G41*1.65</f>
        <v>0.08450369399999999</v>
      </c>
      <c r="M41" s="337">
        <f>H41-C41</f>
        <v>1.9773333455</v>
      </c>
      <c r="N41" s="340">
        <f>I41-D41</f>
        <v>0</v>
      </c>
      <c r="O41" s="347">
        <f>M41-Q41-P41</f>
        <v>2.19901670463</v>
      </c>
      <c r="P41" s="347">
        <f>K41-F41</f>
        <v>-0.2549726931299999</v>
      </c>
      <c r="Q41" s="347">
        <f>L41-G41</f>
        <v>0.03328933399999999</v>
      </c>
      <c r="R41" s="347">
        <f>S41+T41+U41+V41</f>
        <v>2.43608522</v>
      </c>
      <c r="S41" s="340">
        <f aca="true" t="shared" si="14" ref="S41:V42">I41</f>
        <v>0</v>
      </c>
      <c r="T41" s="347">
        <f t="shared" si="14"/>
        <v>2.267077832</v>
      </c>
      <c r="U41" s="347">
        <f t="shared" si="14"/>
        <v>0.08450369399999999</v>
      </c>
      <c r="V41" s="347">
        <f t="shared" si="14"/>
        <v>0.08450369399999999</v>
      </c>
      <c r="W41" s="391"/>
      <c r="X41" s="391"/>
      <c r="Y41" s="391"/>
      <c r="Z41" s="391"/>
      <c r="AA41" s="392"/>
      <c r="AB41" s="337"/>
      <c r="AC41" s="391"/>
      <c r="AD41" s="142">
        <f>(3+60+40+15+50+109+40+50+40+250+100+50+50+18+20+5+20+100+15+100+84)/1000</f>
        <v>1.219</v>
      </c>
      <c r="AE41" s="151">
        <v>2015</v>
      </c>
      <c r="AF41" s="466">
        <v>15</v>
      </c>
      <c r="AG41" s="467"/>
      <c r="AH41" s="467"/>
      <c r="AI41" s="467"/>
      <c r="AJ41" s="468"/>
      <c r="AK41" s="472" t="s">
        <v>184</v>
      </c>
      <c r="AL41" s="473"/>
      <c r="AM41" s="473"/>
      <c r="AN41" s="473"/>
      <c r="AO41" s="474"/>
      <c r="AP41" s="486" t="s">
        <v>182</v>
      </c>
      <c r="AQ41" s="509"/>
      <c r="AR41" s="510">
        <f>(28+500+309+40+75+190+25+272+348+182+170+168+40+501+243+155+235+365+255+69)/1000</f>
        <v>4.17</v>
      </c>
      <c r="AS41" s="511"/>
      <c r="AT41" s="511"/>
      <c r="AU41" s="511"/>
      <c r="AV41" s="511"/>
      <c r="AW41" s="512"/>
      <c r="AX41" s="32"/>
      <c r="AY41" s="33"/>
      <c r="AZ41" s="34"/>
    </row>
    <row r="42" spans="1:52" ht="37.5" customHeight="1" hidden="1">
      <c r="A42" s="93"/>
      <c r="B42" s="129" t="s">
        <v>153</v>
      </c>
      <c r="C42" s="155">
        <f>C41</f>
        <v>0.4587518745</v>
      </c>
      <c r="D42" s="376"/>
      <c r="E42" s="389">
        <f>C42-F42-G42-D42</f>
        <v>0.06806112737000004</v>
      </c>
      <c r="F42" s="389">
        <f>F41</f>
        <v>0.33947638712999995</v>
      </c>
      <c r="G42" s="389">
        <f>G41</f>
        <v>0.05121436</v>
      </c>
      <c r="H42" s="337">
        <f>H41</f>
        <v>2.43608522</v>
      </c>
      <c r="I42" s="390">
        <v>0</v>
      </c>
      <c r="J42" s="337">
        <f>J41</f>
        <v>2.267077832</v>
      </c>
      <c r="K42" s="390">
        <f>K41</f>
        <v>0.08450369399999999</v>
      </c>
      <c r="L42" s="337">
        <f>L41</f>
        <v>0.08450369399999999</v>
      </c>
      <c r="M42" s="337">
        <f>M41</f>
        <v>1.9773333455</v>
      </c>
      <c r="N42" s="340">
        <f>I42-D42</f>
        <v>0</v>
      </c>
      <c r="O42" s="347">
        <f>J42-E42</f>
        <v>2.19901670463</v>
      </c>
      <c r="P42" s="347">
        <f>K42-F42</f>
        <v>-0.2549726931299999</v>
      </c>
      <c r="Q42" s="347">
        <f>L42-G42</f>
        <v>0.03328933399999999</v>
      </c>
      <c r="R42" s="347">
        <f>S42+T42+U42+V42</f>
        <v>2.43608522</v>
      </c>
      <c r="S42" s="340">
        <f t="shared" si="14"/>
        <v>0</v>
      </c>
      <c r="T42" s="347">
        <f t="shared" si="14"/>
        <v>2.267077832</v>
      </c>
      <c r="U42" s="347">
        <f t="shared" si="14"/>
        <v>0.08450369399999999</v>
      </c>
      <c r="V42" s="347">
        <f t="shared" si="14"/>
        <v>0.08450369399999999</v>
      </c>
      <c r="W42" s="391"/>
      <c r="X42" s="391"/>
      <c r="Y42" s="391"/>
      <c r="Z42" s="391"/>
      <c r="AA42" s="392"/>
      <c r="AB42" s="391"/>
      <c r="AC42" s="391"/>
      <c r="AD42" s="391"/>
      <c r="AE42" s="151"/>
      <c r="AF42" s="466"/>
      <c r="AG42" s="467"/>
      <c r="AH42" s="467"/>
      <c r="AI42" s="467"/>
      <c r="AJ42" s="468"/>
      <c r="AK42" s="519"/>
      <c r="AL42" s="520"/>
      <c r="AM42" s="520"/>
      <c r="AN42" s="520"/>
      <c r="AO42" s="521"/>
      <c r="AP42" s="475"/>
      <c r="AQ42" s="476"/>
      <c r="AR42" s="501"/>
      <c r="AS42" s="502"/>
      <c r="AT42" s="502"/>
      <c r="AU42" s="502"/>
      <c r="AV42" s="502"/>
      <c r="AW42" s="503"/>
      <c r="AX42" s="32"/>
      <c r="AY42" s="33"/>
      <c r="AZ42" s="34"/>
    </row>
    <row r="43" spans="1:52" ht="27" customHeight="1">
      <c r="A43" s="157"/>
      <c r="B43" s="125" t="s">
        <v>118</v>
      </c>
      <c r="C43" s="166"/>
      <c r="D43" s="410"/>
      <c r="E43" s="158"/>
      <c r="F43" s="403"/>
      <c r="G43" s="403"/>
      <c r="H43" s="404"/>
      <c r="I43" s="404"/>
      <c r="J43" s="404"/>
      <c r="K43" s="404"/>
      <c r="L43" s="405"/>
      <c r="M43" s="404"/>
      <c r="N43" s="405"/>
      <c r="O43" s="404"/>
      <c r="P43" s="404"/>
      <c r="Q43" s="404"/>
      <c r="R43" s="404"/>
      <c r="S43" s="404"/>
      <c r="T43" s="404"/>
      <c r="U43" s="404"/>
      <c r="V43" s="404"/>
      <c r="W43" s="424"/>
      <c r="X43" s="424"/>
      <c r="Y43" s="424"/>
      <c r="Z43" s="424"/>
      <c r="AA43" s="424"/>
      <c r="AB43" s="424"/>
      <c r="AC43" s="424"/>
      <c r="AD43" s="424"/>
      <c r="AE43" s="425"/>
      <c r="AF43" s="425"/>
      <c r="AG43" s="425"/>
      <c r="AH43" s="425"/>
      <c r="AI43" s="425"/>
      <c r="AJ43" s="425"/>
      <c r="AK43" s="425"/>
      <c r="AL43" s="425"/>
      <c r="AM43" s="425"/>
      <c r="AN43" s="425"/>
      <c r="AO43" s="425"/>
      <c r="AP43" s="426"/>
      <c r="AQ43" s="426"/>
      <c r="AR43" s="425"/>
      <c r="AS43" s="425"/>
      <c r="AT43" s="425"/>
      <c r="AU43" s="425"/>
      <c r="AV43" s="425"/>
      <c r="AW43" s="425"/>
      <c r="AX43" s="425"/>
      <c r="AY43" s="425"/>
      <c r="AZ43" s="427"/>
    </row>
    <row r="44" spans="1:52" ht="36.75" customHeight="1">
      <c r="A44" s="93" t="s">
        <v>172</v>
      </c>
      <c r="B44" s="379" t="s">
        <v>232</v>
      </c>
      <c r="C44" s="155">
        <f>((0.2*1001440.35+22003.71+6771.68+2527.5+7213)+(0.4*1001440.35+1219.04+375.16+342.92+399.61)+((0.26*844264.18)+11178.96+4523.97))/1000000*1.18</f>
        <v>1.034775567224</v>
      </c>
      <c r="D44" s="376">
        <v>0</v>
      </c>
      <c r="E44" s="389">
        <f>C44-F44-G44-D44</f>
        <v>0.247507491806</v>
      </c>
      <c r="F44" s="389">
        <f>C44*75/100</f>
        <v>0.776081675418</v>
      </c>
      <c r="G44" s="389">
        <f>(8.79+0.69)/1000*1.18</f>
        <v>0.011186399999999997</v>
      </c>
      <c r="H44" s="340">
        <f>'Исп инв прогр 7.1 '!F48</f>
        <v>0</v>
      </c>
      <c r="I44" s="390"/>
      <c r="J44" s="390"/>
      <c r="K44" s="390"/>
      <c r="L44" s="390"/>
      <c r="M44" s="337">
        <f aca="true" t="shared" si="15" ref="M44:Q45">H44-C44</f>
        <v>-1.034775567224</v>
      </c>
      <c r="N44" s="340">
        <f t="shared" si="15"/>
        <v>0</v>
      </c>
      <c r="O44" s="347">
        <f t="shared" si="15"/>
        <v>-0.247507491806</v>
      </c>
      <c r="P44" s="347">
        <f t="shared" si="15"/>
        <v>-0.776081675418</v>
      </c>
      <c r="Q44" s="347">
        <f t="shared" si="15"/>
        <v>-0.011186399999999997</v>
      </c>
      <c r="R44" s="340">
        <f>S44+T44+U44+V44</f>
        <v>0</v>
      </c>
      <c r="S44" s="340"/>
      <c r="T44" s="340"/>
      <c r="U44" s="340"/>
      <c r="V44" s="340"/>
      <c r="W44" s="391"/>
      <c r="X44" s="391"/>
      <c r="Y44" s="391"/>
      <c r="Z44" s="391"/>
      <c r="AA44" s="392"/>
      <c r="AB44" s="391"/>
      <c r="AC44" s="391"/>
      <c r="AD44" s="390"/>
      <c r="AE44" s="151">
        <v>2015</v>
      </c>
      <c r="AF44" s="466">
        <v>15</v>
      </c>
      <c r="AG44" s="467"/>
      <c r="AH44" s="467"/>
      <c r="AI44" s="467"/>
      <c r="AJ44" s="468"/>
      <c r="AK44" s="472"/>
      <c r="AL44" s="473"/>
      <c r="AM44" s="473"/>
      <c r="AN44" s="473"/>
      <c r="AO44" s="474"/>
      <c r="AP44" s="472" t="s">
        <v>121</v>
      </c>
      <c r="AQ44" s="474"/>
      <c r="AR44" s="469"/>
      <c r="AS44" s="470"/>
      <c r="AT44" s="470"/>
      <c r="AU44" s="470"/>
      <c r="AV44" s="470"/>
      <c r="AW44" s="471"/>
      <c r="AX44" s="32"/>
      <c r="AY44" s="33"/>
      <c r="AZ44" s="34"/>
    </row>
    <row r="45" spans="1:52" ht="20.25" hidden="1">
      <c r="A45" s="93"/>
      <c r="B45" s="133" t="s">
        <v>153</v>
      </c>
      <c r="C45" s="155">
        <f>C44</f>
        <v>1.034775567224</v>
      </c>
      <c r="D45" s="376"/>
      <c r="E45" s="389">
        <f>C45-F45-G45-D45</f>
        <v>0.247507491806</v>
      </c>
      <c r="F45" s="389">
        <f>F44</f>
        <v>0.776081675418</v>
      </c>
      <c r="G45" s="389">
        <f>G44</f>
        <v>0.011186399999999997</v>
      </c>
      <c r="H45" s="390">
        <f>I45+J45+K45+L45</f>
        <v>0</v>
      </c>
      <c r="I45" s="390">
        <v>0</v>
      </c>
      <c r="J45" s="390">
        <v>0</v>
      </c>
      <c r="K45" s="390">
        <v>0</v>
      </c>
      <c r="L45" s="390">
        <v>0</v>
      </c>
      <c r="M45" s="337">
        <f t="shared" si="15"/>
        <v>-1.034775567224</v>
      </c>
      <c r="N45" s="340">
        <f t="shared" si="15"/>
        <v>0</v>
      </c>
      <c r="O45" s="347">
        <f t="shared" si="15"/>
        <v>-0.247507491806</v>
      </c>
      <c r="P45" s="347">
        <f t="shared" si="15"/>
        <v>-0.776081675418</v>
      </c>
      <c r="Q45" s="347">
        <f t="shared" si="15"/>
        <v>-0.011186399999999997</v>
      </c>
      <c r="R45" s="340">
        <f>S45+T45+U45+V45</f>
        <v>0</v>
      </c>
      <c r="S45" s="340"/>
      <c r="T45" s="340"/>
      <c r="U45" s="340"/>
      <c r="V45" s="340"/>
      <c r="W45" s="391"/>
      <c r="X45" s="391"/>
      <c r="Y45" s="391"/>
      <c r="Z45" s="391"/>
      <c r="AA45" s="392"/>
      <c r="AB45" s="391"/>
      <c r="AC45" s="391"/>
      <c r="AD45" s="391"/>
      <c r="AE45" s="151"/>
      <c r="AF45" s="466"/>
      <c r="AG45" s="467"/>
      <c r="AH45" s="467"/>
      <c r="AI45" s="467"/>
      <c r="AJ45" s="468"/>
      <c r="AK45" s="472"/>
      <c r="AL45" s="473"/>
      <c r="AM45" s="473"/>
      <c r="AN45" s="473"/>
      <c r="AO45" s="474"/>
      <c r="AP45" s="475"/>
      <c r="AQ45" s="476"/>
      <c r="AR45" s="469"/>
      <c r="AS45" s="470"/>
      <c r="AT45" s="470"/>
      <c r="AU45" s="470"/>
      <c r="AV45" s="470"/>
      <c r="AW45" s="471"/>
      <c r="AX45" s="32"/>
      <c r="AY45" s="33"/>
      <c r="AZ45" s="34"/>
    </row>
    <row r="46" spans="1:52" ht="25.5" customHeight="1">
      <c r="A46" s="157"/>
      <c r="B46" s="125" t="s">
        <v>110</v>
      </c>
      <c r="C46" s="158"/>
      <c r="D46" s="326"/>
      <c r="E46" s="393"/>
      <c r="F46" s="393"/>
      <c r="G46" s="393"/>
      <c r="H46" s="328"/>
      <c r="I46" s="393"/>
      <c r="J46" s="393"/>
      <c r="K46" s="393"/>
      <c r="L46" s="393"/>
      <c r="M46" s="393"/>
      <c r="N46" s="328"/>
      <c r="O46" s="328"/>
      <c r="P46" s="328"/>
      <c r="Q46" s="328"/>
      <c r="R46" s="325"/>
      <c r="S46" s="325"/>
      <c r="T46" s="325"/>
      <c r="U46" s="325"/>
      <c r="V46" s="325"/>
      <c r="W46" s="386"/>
      <c r="X46" s="386"/>
      <c r="Y46" s="386"/>
      <c r="Z46" s="386"/>
      <c r="AA46" s="395"/>
      <c r="AB46" s="386"/>
      <c r="AC46" s="386"/>
      <c r="AD46" s="386"/>
      <c r="AE46" s="160"/>
      <c r="AF46" s="481"/>
      <c r="AG46" s="482"/>
      <c r="AH46" s="482"/>
      <c r="AI46" s="482"/>
      <c r="AJ46" s="483"/>
      <c r="AK46" s="481"/>
      <c r="AL46" s="482"/>
      <c r="AM46" s="482"/>
      <c r="AN46" s="482"/>
      <c r="AO46" s="483"/>
      <c r="AP46" s="484"/>
      <c r="AQ46" s="485"/>
      <c r="AR46" s="477"/>
      <c r="AS46" s="478"/>
      <c r="AT46" s="478"/>
      <c r="AU46" s="478"/>
      <c r="AV46" s="478"/>
      <c r="AW46" s="479"/>
      <c r="AX46" s="159"/>
      <c r="AY46" s="161"/>
      <c r="AZ46" s="162"/>
    </row>
    <row r="47" spans="1:52" ht="43.5" customHeight="1">
      <c r="A47" s="93" t="s">
        <v>173</v>
      </c>
      <c r="B47" s="377" t="s">
        <v>230</v>
      </c>
      <c r="C47" s="330">
        <f>(2041978+1306866+816791+326717)/1000000*1.18</f>
        <v>5.30097536</v>
      </c>
      <c r="D47" s="411">
        <v>0</v>
      </c>
      <c r="E47" s="396">
        <f>C47-F47-G47-D47</f>
        <v>5.19703742</v>
      </c>
      <c r="F47" s="396">
        <f>(4.026+51.346)/1000*1.18</f>
        <v>0.06533895999999999</v>
      </c>
      <c r="G47" s="396">
        <f>(2.38+30.331)/1000*1.18</f>
        <v>0.03859897999999999</v>
      </c>
      <c r="H47" s="406">
        <f>'Исп инв прогр 7.1 '!F51</f>
        <v>0</v>
      </c>
      <c r="I47" s="406"/>
      <c r="J47" s="406"/>
      <c r="K47" s="406"/>
      <c r="L47" s="406"/>
      <c r="M47" s="331">
        <f aca="true" t="shared" si="16" ref="M47:Q48">H47-C47</f>
        <v>-5.30097536</v>
      </c>
      <c r="N47" s="77">
        <f t="shared" si="16"/>
        <v>0</v>
      </c>
      <c r="O47" s="333">
        <f t="shared" si="16"/>
        <v>-5.19703742</v>
      </c>
      <c r="P47" s="333">
        <f t="shared" si="16"/>
        <v>-0.06533895999999999</v>
      </c>
      <c r="Q47" s="333">
        <f t="shared" si="16"/>
        <v>-0.03859897999999999</v>
      </c>
      <c r="R47" s="398">
        <f>S47+T47+U47+V47</f>
        <v>0</v>
      </c>
      <c r="S47" s="398"/>
      <c r="T47" s="398"/>
      <c r="U47" s="398"/>
      <c r="V47" s="398"/>
      <c r="W47" s="407"/>
      <c r="X47" s="407"/>
      <c r="Y47" s="407"/>
      <c r="Z47" s="407"/>
      <c r="AA47" s="408"/>
      <c r="AB47" s="407"/>
      <c r="AC47" s="407"/>
      <c r="AD47" s="287"/>
      <c r="AE47" s="156">
        <v>2015</v>
      </c>
      <c r="AF47" s="495">
        <v>15</v>
      </c>
      <c r="AG47" s="496"/>
      <c r="AH47" s="496"/>
      <c r="AI47" s="496"/>
      <c r="AJ47" s="497"/>
      <c r="AK47" s="488" t="s">
        <v>120</v>
      </c>
      <c r="AL47" s="489"/>
      <c r="AM47" s="489"/>
      <c r="AN47" s="489"/>
      <c r="AO47" s="490"/>
      <c r="AP47" s="517" t="s">
        <v>183</v>
      </c>
      <c r="AQ47" s="518"/>
      <c r="AR47" s="514"/>
      <c r="AS47" s="515"/>
      <c r="AT47" s="515"/>
      <c r="AU47" s="515"/>
      <c r="AV47" s="515"/>
      <c r="AW47" s="516"/>
      <c r="AX47" s="32"/>
      <c r="AY47" s="33"/>
      <c r="AZ47" s="34"/>
    </row>
    <row r="48" spans="1:52" ht="43.5" customHeight="1">
      <c r="A48" s="93" t="s">
        <v>174</v>
      </c>
      <c r="B48" s="378" t="s">
        <v>231</v>
      </c>
      <c r="C48" s="336">
        <f>(((0.2*756245.66)+22003.71+6771.68+2527.5+7213.04)+(0.5*756245.66+21498+8699.94))/1000000*1.18</f>
        <v>0.7057412817600001</v>
      </c>
      <c r="D48" s="376">
        <v>0</v>
      </c>
      <c r="E48" s="389">
        <f>C48-F48-G48-D48</f>
        <v>0.13783634043999998</v>
      </c>
      <c r="F48" s="389">
        <f>C48*75/100</f>
        <v>0.5293059613200001</v>
      </c>
      <c r="G48" s="389">
        <f>(2.38+30.331)/1000*1.18</f>
        <v>0.03859897999999999</v>
      </c>
      <c r="H48" s="337">
        <f>'Исп инв прогр 7.1 '!F52</f>
        <v>0.67270502</v>
      </c>
      <c r="I48" s="390">
        <v>0</v>
      </c>
      <c r="J48" s="337">
        <f>H48-K48-L48</f>
        <v>0.2611797002028985</v>
      </c>
      <c r="K48" s="337">
        <f>F48/1.38</f>
        <v>0.38355504443478267</v>
      </c>
      <c r="L48" s="337">
        <f>G48/1.38</f>
        <v>0.027970275362318837</v>
      </c>
      <c r="M48" s="337">
        <f t="shared" si="16"/>
        <v>-0.033036261760000074</v>
      </c>
      <c r="N48" s="340">
        <f t="shared" si="16"/>
        <v>0</v>
      </c>
      <c r="O48" s="347">
        <f t="shared" si="16"/>
        <v>0.12334335976289851</v>
      </c>
      <c r="P48" s="347">
        <f t="shared" si="16"/>
        <v>-0.1457509168852174</v>
      </c>
      <c r="Q48" s="347">
        <f t="shared" si="16"/>
        <v>-0.010628704637681154</v>
      </c>
      <c r="R48" s="347">
        <f>S48+T48+U48+V48</f>
        <v>0.6727050200000001</v>
      </c>
      <c r="S48" s="340">
        <f>I48</f>
        <v>0</v>
      </c>
      <c r="T48" s="347">
        <f>J48</f>
        <v>0.2611797002028985</v>
      </c>
      <c r="U48" s="347">
        <f>K48</f>
        <v>0.38355504443478267</v>
      </c>
      <c r="V48" s="347">
        <f>L48</f>
        <v>0.027970275362318837</v>
      </c>
      <c r="W48" s="391"/>
      <c r="X48" s="391"/>
      <c r="Y48" s="391"/>
      <c r="Z48" s="391"/>
      <c r="AA48" s="392"/>
      <c r="AB48" s="391"/>
      <c r="AC48" s="391"/>
      <c r="AD48" s="288">
        <f>(150+20)/1000</f>
        <v>0.17</v>
      </c>
      <c r="AE48" s="151">
        <v>2015</v>
      </c>
      <c r="AF48" s="466">
        <v>15</v>
      </c>
      <c r="AG48" s="467"/>
      <c r="AH48" s="467"/>
      <c r="AI48" s="467"/>
      <c r="AJ48" s="468"/>
      <c r="AK48" s="472" t="s">
        <v>184</v>
      </c>
      <c r="AL48" s="473"/>
      <c r="AM48" s="473"/>
      <c r="AN48" s="473"/>
      <c r="AO48" s="474"/>
      <c r="AP48" s="491" t="s">
        <v>183</v>
      </c>
      <c r="AQ48" s="492"/>
      <c r="AR48" s="469">
        <v>0.561</v>
      </c>
      <c r="AS48" s="470"/>
      <c r="AT48" s="470"/>
      <c r="AU48" s="470"/>
      <c r="AV48" s="470"/>
      <c r="AW48" s="471"/>
      <c r="AX48" s="32"/>
      <c r="AY48" s="33"/>
      <c r="AZ48" s="34"/>
    </row>
    <row r="49" spans="1:52" ht="25.5" customHeight="1" hidden="1">
      <c r="A49" s="93"/>
      <c r="B49" s="129" t="s">
        <v>153</v>
      </c>
      <c r="C49" s="155">
        <f>C48</f>
        <v>0.7057412817600001</v>
      </c>
      <c r="D49" s="341"/>
      <c r="E49" s="337">
        <f aca="true" t="shared" si="17" ref="E49:Q49">E48</f>
        <v>0.13783634043999998</v>
      </c>
      <c r="F49" s="337">
        <f t="shared" si="17"/>
        <v>0.5293059613200001</v>
      </c>
      <c r="G49" s="337">
        <f t="shared" si="17"/>
        <v>0.03859897999999999</v>
      </c>
      <c r="H49" s="337">
        <f t="shared" si="17"/>
        <v>0.67270502</v>
      </c>
      <c r="I49" s="390">
        <f t="shared" si="17"/>
        <v>0</v>
      </c>
      <c r="J49" s="337">
        <f t="shared" si="17"/>
        <v>0.2611797002028985</v>
      </c>
      <c r="K49" s="337">
        <f t="shared" si="17"/>
        <v>0.38355504443478267</v>
      </c>
      <c r="L49" s="337">
        <f t="shared" si="17"/>
        <v>0.027970275362318837</v>
      </c>
      <c r="M49" s="337">
        <f t="shared" si="17"/>
        <v>-0.033036261760000074</v>
      </c>
      <c r="N49" s="340">
        <f t="shared" si="17"/>
        <v>0</v>
      </c>
      <c r="O49" s="347">
        <f t="shared" si="17"/>
        <v>0.12334335976289851</v>
      </c>
      <c r="P49" s="347">
        <f t="shared" si="17"/>
        <v>-0.1457509168852174</v>
      </c>
      <c r="Q49" s="347">
        <f t="shared" si="17"/>
        <v>-0.010628704637681154</v>
      </c>
      <c r="R49" s="347">
        <f>S49+T49+U49+V49</f>
        <v>0.6727050200000001</v>
      </c>
      <c r="S49" s="340">
        <f>S48</f>
        <v>0</v>
      </c>
      <c r="T49" s="347">
        <f>T48</f>
        <v>0.2611797002028985</v>
      </c>
      <c r="U49" s="347">
        <f>U48</f>
        <v>0.38355504443478267</v>
      </c>
      <c r="V49" s="347">
        <f>V48</f>
        <v>0.027970275362318837</v>
      </c>
      <c r="W49" s="391"/>
      <c r="X49" s="391"/>
      <c r="Y49" s="391"/>
      <c r="Z49" s="391"/>
      <c r="AA49" s="392"/>
      <c r="AB49" s="391"/>
      <c r="AC49" s="391"/>
      <c r="AD49" s="391"/>
      <c r="AE49" s="151"/>
      <c r="AF49" s="148"/>
      <c r="AG49" s="241"/>
      <c r="AH49" s="241"/>
      <c r="AI49" s="241"/>
      <c r="AJ49" s="242"/>
      <c r="AK49" s="152"/>
      <c r="AL49" s="239"/>
      <c r="AM49" s="239"/>
      <c r="AN49" s="239"/>
      <c r="AO49" s="240"/>
      <c r="AP49" s="153"/>
      <c r="AQ49" s="237"/>
      <c r="AR49" s="154"/>
      <c r="AS49" s="243"/>
      <c r="AT49" s="243"/>
      <c r="AU49" s="243"/>
      <c r="AV49" s="243"/>
      <c r="AW49" s="238"/>
      <c r="AX49" s="32"/>
      <c r="AY49" s="33"/>
      <c r="AZ49" s="34"/>
    </row>
    <row r="50" spans="1:52" ht="24.75" customHeight="1">
      <c r="A50" s="157"/>
      <c r="B50" s="125" t="s">
        <v>114</v>
      </c>
      <c r="C50" s="166"/>
      <c r="D50" s="326"/>
      <c r="E50" s="393"/>
      <c r="F50" s="393"/>
      <c r="G50" s="393"/>
      <c r="H50" s="393"/>
      <c r="I50" s="393"/>
      <c r="J50" s="393"/>
      <c r="K50" s="393"/>
      <c r="L50" s="393"/>
      <c r="M50" s="393"/>
      <c r="N50" s="328"/>
      <c r="O50" s="328"/>
      <c r="P50" s="328"/>
      <c r="Q50" s="328"/>
      <c r="R50" s="325"/>
      <c r="S50" s="325"/>
      <c r="T50" s="325"/>
      <c r="U50" s="325"/>
      <c r="V50" s="325"/>
      <c r="W50" s="386"/>
      <c r="X50" s="386"/>
      <c r="Y50" s="386"/>
      <c r="Z50" s="386"/>
      <c r="AA50" s="395"/>
      <c r="AB50" s="386"/>
      <c r="AC50" s="386"/>
      <c r="AD50" s="386"/>
      <c r="AE50" s="160"/>
      <c r="AF50" s="481"/>
      <c r="AG50" s="482"/>
      <c r="AH50" s="482"/>
      <c r="AI50" s="482"/>
      <c r="AJ50" s="483"/>
      <c r="AK50" s="481"/>
      <c r="AL50" s="482"/>
      <c r="AM50" s="482"/>
      <c r="AN50" s="482"/>
      <c r="AO50" s="483"/>
      <c r="AP50" s="484"/>
      <c r="AQ50" s="485"/>
      <c r="AR50" s="477"/>
      <c r="AS50" s="478"/>
      <c r="AT50" s="478"/>
      <c r="AU50" s="478"/>
      <c r="AV50" s="478"/>
      <c r="AW50" s="479"/>
      <c r="AX50" s="159"/>
      <c r="AY50" s="161"/>
      <c r="AZ50" s="162"/>
    </row>
    <row r="51" spans="1:52" ht="44.25" customHeight="1">
      <c r="A51" s="93" t="s">
        <v>142</v>
      </c>
      <c r="B51" s="379" t="s">
        <v>233</v>
      </c>
      <c r="C51" s="155">
        <f>(((3.21*1017254.08)+9782.81+3010.68+2751.9+3206.91)+((0.65*1017254.08)+32676.96+13223.91)+((0.865*1017254.08)+32676.96+13223.91))/1000000*1.18</f>
        <v>5.80215389024</v>
      </c>
      <c r="D51" s="376">
        <v>0</v>
      </c>
      <c r="E51" s="337">
        <f>C51-D51-F51-G51</f>
        <v>1.43553847256</v>
      </c>
      <c r="F51" s="389">
        <f>C51*75/100</f>
        <v>4.35161541768</v>
      </c>
      <c r="G51" s="337">
        <v>0.015</v>
      </c>
      <c r="H51" s="341">
        <f>'Исп инв прогр 7.1 '!F55</f>
        <v>0</v>
      </c>
      <c r="I51" s="390"/>
      <c r="J51" s="390"/>
      <c r="K51" s="390"/>
      <c r="L51" s="390"/>
      <c r="M51" s="337">
        <f>H51-C51</f>
        <v>-5.80215389024</v>
      </c>
      <c r="N51" s="340">
        <f>I51-D51</f>
        <v>0</v>
      </c>
      <c r="O51" s="347">
        <f>J51-E51</f>
        <v>-1.43553847256</v>
      </c>
      <c r="P51" s="347">
        <f>K51-F51</f>
        <v>-4.35161541768</v>
      </c>
      <c r="Q51" s="347">
        <f>L51-G51</f>
        <v>-0.015</v>
      </c>
      <c r="R51" s="340">
        <f>S51+T51+U51+V51</f>
        <v>0</v>
      </c>
      <c r="S51" s="340"/>
      <c r="T51" s="340"/>
      <c r="U51" s="340"/>
      <c r="V51" s="340"/>
      <c r="W51" s="391"/>
      <c r="X51" s="391"/>
      <c r="Y51" s="391"/>
      <c r="Z51" s="391"/>
      <c r="AA51" s="392"/>
      <c r="AB51" s="391"/>
      <c r="AC51" s="391"/>
      <c r="AD51" s="391"/>
      <c r="AE51" s="151">
        <v>2015</v>
      </c>
      <c r="AF51" s="466">
        <v>20</v>
      </c>
      <c r="AG51" s="467"/>
      <c r="AH51" s="467"/>
      <c r="AI51" s="467"/>
      <c r="AJ51" s="468"/>
      <c r="AK51" s="466"/>
      <c r="AL51" s="467"/>
      <c r="AM51" s="467"/>
      <c r="AN51" s="467"/>
      <c r="AO51" s="468"/>
      <c r="AP51" s="486" t="s">
        <v>56</v>
      </c>
      <c r="AQ51" s="487"/>
      <c r="AR51" s="469"/>
      <c r="AS51" s="470"/>
      <c r="AT51" s="470"/>
      <c r="AU51" s="470"/>
      <c r="AV51" s="470"/>
      <c r="AW51" s="471"/>
      <c r="AX51" s="32"/>
      <c r="AY51" s="33"/>
      <c r="AZ51" s="34"/>
    </row>
    <row r="52" spans="1:52" ht="30.75" customHeight="1" hidden="1">
      <c r="A52" s="93"/>
      <c r="B52" s="129" t="s">
        <v>153</v>
      </c>
      <c r="C52" s="155">
        <f>C51</f>
        <v>5.80215389024</v>
      </c>
      <c r="D52" s="147"/>
      <c r="E52" s="149">
        <f>C52-D52-F52-G52</f>
        <v>1.43553847256</v>
      </c>
      <c r="F52" s="149">
        <f aca="true" t="shared" si="18" ref="F52:Q52">F51</f>
        <v>4.35161541768</v>
      </c>
      <c r="G52" s="149">
        <f t="shared" si="18"/>
        <v>0.015</v>
      </c>
      <c r="H52" s="145">
        <f t="shared" si="18"/>
        <v>0</v>
      </c>
      <c r="I52" s="145">
        <f t="shared" si="18"/>
        <v>0</v>
      </c>
      <c r="J52" s="145">
        <f t="shared" si="18"/>
        <v>0</v>
      </c>
      <c r="K52" s="145">
        <f t="shared" si="18"/>
        <v>0</v>
      </c>
      <c r="L52" s="145">
        <f t="shared" si="18"/>
        <v>0</v>
      </c>
      <c r="M52" s="149">
        <f t="shared" si="18"/>
        <v>-5.80215389024</v>
      </c>
      <c r="N52" s="144">
        <f t="shared" si="18"/>
        <v>0</v>
      </c>
      <c r="O52" s="146">
        <f t="shared" si="18"/>
        <v>-1.43553847256</v>
      </c>
      <c r="P52" s="146">
        <f t="shared" si="18"/>
        <v>-4.35161541768</v>
      </c>
      <c r="Q52" s="146">
        <f t="shared" si="18"/>
        <v>-0.015</v>
      </c>
      <c r="R52" s="141">
        <f>S52+T52+U52+V52</f>
        <v>0</v>
      </c>
      <c r="S52" s="141">
        <f>S51</f>
        <v>0</v>
      </c>
      <c r="T52" s="141">
        <f>T51</f>
        <v>0</v>
      </c>
      <c r="U52" s="141">
        <f>U51</f>
        <v>0</v>
      </c>
      <c r="V52" s="141">
        <f>V51</f>
        <v>0</v>
      </c>
      <c r="W52" s="150"/>
      <c r="X52" s="150"/>
      <c r="Y52" s="150"/>
      <c r="Z52" s="150"/>
      <c r="AA52" s="151"/>
      <c r="AB52" s="150"/>
      <c r="AC52" s="150"/>
      <c r="AD52" s="150"/>
      <c r="AE52" s="151"/>
      <c r="AF52" s="466"/>
      <c r="AG52" s="467"/>
      <c r="AH52" s="467"/>
      <c r="AI52" s="467"/>
      <c r="AJ52" s="468"/>
      <c r="AK52" s="466"/>
      <c r="AL52" s="467"/>
      <c r="AM52" s="467"/>
      <c r="AN52" s="467"/>
      <c r="AO52" s="468"/>
      <c r="AP52" s="475"/>
      <c r="AQ52" s="476"/>
      <c r="AR52" s="469"/>
      <c r="AS52" s="470"/>
      <c r="AT52" s="470"/>
      <c r="AU52" s="470"/>
      <c r="AV52" s="470"/>
      <c r="AW52" s="471"/>
      <c r="AX52" s="32"/>
      <c r="AY52" s="33"/>
      <c r="AZ52" s="33"/>
    </row>
    <row r="53" spans="1:49" ht="18.75">
      <c r="A53" s="97"/>
      <c r="B53" s="8"/>
      <c r="AR53" s="480"/>
      <c r="AS53" s="480"/>
      <c r="AT53" s="480"/>
      <c r="AU53" s="480"/>
      <c r="AV53" s="480"/>
      <c r="AW53" s="480"/>
    </row>
    <row r="54" s="3" customFormat="1" ht="11.25"/>
    <row r="55" spans="2:43" ht="15.75" customHeight="1">
      <c r="B55" s="22" t="s">
        <v>238</v>
      </c>
      <c r="AC55" s="6"/>
      <c r="AP55" s="6"/>
      <c r="AQ55" s="6"/>
    </row>
    <row r="56" spans="2:43" ht="18.75">
      <c r="B56" s="22" t="s">
        <v>239</v>
      </c>
      <c r="AC56" s="6"/>
      <c r="AP56" s="6"/>
      <c r="AQ56" s="6"/>
    </row>
    <row r="57" spans="1:2" ht="18.75">
      <c r="A57" s="8"/>
      <c r="B57" s="8"/>
    </row>
    <row r="58" spans="1:2" ht="18.75">
      <c r="A58" s="8"/>
      <c r="B58" s="8"/>
    </row>
    <row r="59" spans="1:2" ht="18.75">
      <c r="A59" s="8"/>
      <c r="B59" s="8"/>
    </row>
    <row r="60" spans="1:2" ht="18.75">
      <c r="A60" s="8"/>
      <c r="B60" s="8"/>
    </row>
    <row r="61" spans="1:2" ht="18.75">
      <c r="A61" s="8"/>
      <c r="B61" s="8"/>
    </row>
    <row r="62" spans="1:2" ht="18.75">
      <c r="A62" s="8"/>
      <c r="B62" s="8"/>
    </row>
  </sheetData>
  <mergeCells count="114">
    <mergeCell ref="AF40:AJ40"/>
    <mergeCell ref="AK40:AO40"/>
    <mergeCell ref="AF13:AJ13"/>
    <mergeCell ref="AK13:AO13"/>
    <mergeCell ref="AF18:AJ18"/>
    <mergeCell ref="AK18:AO18"/>
    <mergeCell ref="AF14:AJ14"/>
    <mergeCell ref="AK14:AO14"/>
    <mergeCell ref="AK24:AO24"/>
    <mergeCell ref="AF39:AJ39"/>
    <mergeCell ref="B10:B12"/>
    <mergeCell ref="A10:A12"/>
    <mergeCell ref="AF15:AJ15"/>
    <mergeCell ref="AK15:AO15"/>
    <mergeCell ref="AF23:AJ23"/>
    <mergeCell ref="AK23:AO23"/>
    <mergeCell ref="AJ1:AZ1"/>
    <mergeCell ref="A3:AZ3"/>
    <mergeCell ref="A4:AZ4"/>
    <mergeCell ref="AA11:AD11"/>
    <mergeCell ref="W11:Z11"/>
    <mergeCell ref="AE11:AW11"/>
    <mergeCell ref="AF2:AZ2"/>
    <mergeCell ref="AD5:AZ5"/>
    <mergeCell ref="AD6:AZ6"/>
    <mergeCell ref="AD7:AZ7"/>
    <mergeCell ref="AK12:AO12"/>
    <mergeCell ref="C10:G11"/>
    <mergeCell ref="H10:L11"/>
    <mergeCell ref="M10:Q11"/>
    <mergeCell ref="R10:V11"/>
    <mergeCell ref="W10:AZ10"/>
    <mergeCell ref="AF12:AJ12"/>
    <mergeCell ref="AX11:AZ12"/>
    <mergeCell ref="AP12:AQ12"/>
    <mergeCell ref="AR12:AW12"/>
    <mergeCell ref="AP14:AQ14"/>
    <mergeCell ref="AP15:AQ15"/>
    <mergeCell ref="AP23:AQ23"/>
    <mergeCell ref="AX13:AZ13"/>
    <mergeCell ref="AP13:AQ13"/>
    <mergeCell ref="AR13:AW13"/>
    <mergeCell ref="AR14:AW14"/>
    <mergeCell ref="AX14:AZ14"/>
    <mergeCell ref="AR15:AW15"/>
    <mergeCell ref="AX15:AZ15"/>
    <mergeCell ref="AR47:AW47"/>
    <mergeCell ref="AP47:AQ47"/>
    <mergeCell ref="AR24:AW24"/>
    <mergeCell ref="AF46:AJ46"/>
    <mergeCell ref="AF42:AJ42"/>
    <mergeCell ref="AK42:AO42"/>
    <mergeCell ref="AF41:AJ41"/>
    <mergeCell ref="AK41:AO41"/>
    <mergeCell ref="AP39:AQ39"/>
    <mergeCell ref="AR39:AW39"/>
    <mergeCell ref="AX18:AZ18"/>
    <mergeCell ref="AP42:AQ42"/>
    <mergeCell ref="AR42:AW42"/>
    <mergeCell ref="AR23:AW23"/>
    <mergeCell ref="AP18:AQ18"/>
    <mergeCell ref="AR18:AW18"/>
    <mergeCell ref="AP41:AQ41"/>
    <mergeCell ref="AR41:AW41"/>
    <mergeCell ref="AR40:AW40"/>
    <mergeCell ref="AF52:AJ52"/>
    <mergeCell ref="AF47:AJ47"/>
    <mergeCell ref="AF50:AJ50"/>
    <mergeCell ref="AF51:AJ51"/>
    <mergeCell ref="AF24:AJ24"/>
    <mergeCell ref="AK47:AO47"/>
    <mergeCell ref="AP46:AQ46"/>
    <mergeCell ref="AK48:AO48"/>
    <mergeCell ref="AF48:AJ48"/>
    <mergeCell ref="AF45:AJ45"/>
    <mergeCell ref="AP48:AQ48"/>
    <mergeCell ref="AP24:AQ24"/>
    <mergeCell ref="AP40:AQ40"/>
    <mergeCell ref="AK39:AO39"/>
    <mergeCell ref="AR53:AW53"/>
    <mergeCell ref="AK50:AO50"/>
    <mergeCell ref="AP50:AQ50"/>
    <mergeCell ref="AK46:AO46"/>
    <mergeCell ref="AK52:AO52"/>
    <mergeCell ref="AP52:AQ52"/>
    <mergeCell ref="AR51:AW51"/>
    <mergeCell ref="AR52:AW52"/>
    <mergeCell ref="AP51:AQ51"/>
    <mergeCell ref="AR50:AW50"/>
    <mergeCell ref="AK51:AO51"/>
    <mergeCell ref="AR48:AW48"/>
    <mergeCell ref="AF44:AJ44"/>
    <mergeCell ref="AK44:AO44"/>
    <mergeCell ref="AK45:AO45"/>
    <mergeCell ref="AP45:AQ45"/>
    <mergeCell ref="AR45:AW45"/>
    <mergeCell ref="AP44:AQ44"/>
    <mergeCell ref="AR44:AW44"/>
    <mergeCell ref="AR46:AW46"/>
    <mergeCell ref="AP38:AQ38"/>
    <mergeCell ref="A36:A38"/>
    <mergeCell ref="B36:B38"/>
    <mergeCell ref="C36:G37"/>
    <mergeCell ref="H36:L37"/>
    <mergeCell ref="AR38:AW38"/>
    <mergeCell ref="M36:Q37"/>
    <mergeCell ref="R36:V37"/>
    <mergeCell ref="W36:AZ36"/>
    <mergeCell ref="W37:Z37"/>
    <mergeCell ref="AA37:AD37"/>
    <mergeCell ref="AE37:AW37"/>
    <mergeCell ref="AX37:AZ38"/>
    <mergeCell ref="AF38:AJ38"/>
    <mergeCell ref="AK38:AO38"/>
  </mergeCells>
  <printOptions/>
  <pageMargins left="0.7874015748031497" right="0.1968503937007874" top="0.984251968503937" bottom="0.3937007874015748" header="0" footer="0"/>
  <pageSetup horizontalDpi="600" verticalDpi="600" orientation="landscape" paperSize="8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Normal="85" zoomScaleSheetLayoutView="100" workbookViewId="0" topLeftCell="A2">
      <pane xSplit="3" ySplit="8" topLeftCell="D10" activePane="bottomRight" state="frozen"/>
      <selection pane="topLeft" activeCell="A2" sqref="A2"/>
      <selection pane="topRight" activeCell="D2" sqref="D2"/>
      <selection pane="bottomLeft" activeCell="A14" sqref="A14"/>
      <selection pane="bottomRight" activeCell="A21" sqref="A21"/>
    </sheetView>
  </sheetViews>
  <sheetFormatPr defaultColWidth="9.00390625" defaultRowHeight="12.75"/>
  <cols>
    <col min="1" max="1" width="7.00390625" style="3" customWidth="1"/>
    <col min="2" max="2" width="8.125" style="3" hidden="1" customWidth="1"/>
    <col min="3" max="3" width="37.625" style="3" customWidth="1"/>
    <col min="4" max="4" width="13.00390625" style="3" customWidth="1"/>
    <col min="5" max="5" width="14.875" style="3" customWidth="1"/>
    <col min="6" max="6" width="9.875" style="1" customWidth="1"/>
    <col min="7" max="7" width="8.00390625" style="3" hidden="1" customWidth="1"/>
    <col min="8" max="8" width="11.625" style="3" hidden="1" customWidth="1"/>
    <col min="9" max="9" width="7.00390625" style="3" hidden="1" customWidth="1"/>
    <col min="10" max="10" width="7.125" style="3" hidden="1" customWidth="1"/>
    <col min="11" max="11" width="6.25390625" style="3" hidden="1" customWidth="1"/>
    <col min="12" max="12" width="6.125" style="3" hidden="1" customWidth="1"/>
    <col min="13" max="13" width="16.625" style="1" customWidth="1"/>
    <col min="14" max="16384" width="0.875" style="3" customWidth="1"/>
  </cols>
  <sheetData>
    <row r="1" spans="6:13" s="8" customFormat="1" ht="35.25" customHeight="1" hidden="1">
      <c r="F1" s="1"/>
      <c r="H1" s="580" t="s">
        <v>62</v>
      </c>
      <c r="I1" s="581"/>
      <c r="J1" s="581"/>
      <c r="K1" s="581"/>
      <c r="L1" s="581"/>
      <c r="M1" s="1"/>
    </row>
    <row r="2" spans="9:12" ht="15.75">
      <c r="I2" s="588" t="s">
        <v>138</v>
      </c>
      <c r="J2" s="588"/>
      <c r="K2" s="588"/>
      <c r="L2" s="588"/>
    </row>
    <row r="3" spans="2:12" s="7" customFormat="1" ht="20.25">
      <c r="B3" s="586" t="s">
        <v>246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</row>
    <row r="4" spans="1:12" s="7" customFormat="1" ht="15.75">
      <c r="A4" s="589"/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</row>
    <row r="5" spans="2:13" ht="11.25"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3"/>
    </row>
    <row r="7" spans="1:13" s="6" customFormat="1" ht="29.25" customHeight="1">
      <c r="A7" s="569" t="s">
        <v>247</v>
      </c>
      <c r="B7" s="570"/>
      <c r="C7" s="313" t="s">
        <v>76</v>
      </c>
      <c r="D7" s="313" t="s">
        <v>70</v>
      </c>
      <c r="E7" s="313" t="s">
        <v>245</v>
      </c>
      <c r="F7" s="569" t="s">
        <v>68</v>
      </c>
      <c r="G7" s="578" t="s">
        <v>74</v>
      </c>
      <c r="H7" s="578" t="s">
        <v>75</v>
      </c>
      <c r="I7" s="615" t="s">
        <v>73</v>
      </c>
      <c r="J7" s="615" t="s">
        <v>72</v>
      </c>
      <c r="K7" s="615" t="s">
        <v>65</v>
      </c>
      <c r="L7" s="615" t="s">
        <v>66</v>
      </c>
      <c r="M7" s="569" t="s">
        <v>248</v>
      </c>
    </row>
    <row r="8" spans="1:13" s="6" customFormat="1" ht="111.75" customHeight="1">
      <c r="A8" s="616"/>
      <c r="B8" s="616"/>
      <c r="C8" s="617"/>
      <c r="D8" s="618"/>
      <c r="E8" s="618"/>
      <c r="F8" s="616"/>
      <c r="G8" s="619"/>
      <c r="H8" s="619"/>
      <c r="I8" s="615"/>
      <c r="J8" s="615"/>
      <c r="K8" s="615"/>
      <c r="L8" s="615"/>
      <c r="M8" s="616"/>
    </row>
    <row r="9" spans="1:13" s="6" customFormat="1" ht="15.75" customHeight="1" hidden="1">
      <c r="A9" s="17">
        <v>1</v>
      </c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65">
        <v>8</v>
      </c>
      <c r="J9" s="65">
        <v>9</v>
      </c>
      <c r="K9" s="65">
        <v>10</v>
      </c>
      <c r="L9" s="65">
        <v>11</v>
      </c>
      <c r="M9" s="17">
        <v>5</v>
      </c>
    </row>
    <row r="10" spans="1:13" s="116" customFormat="1" ht="25.5" customHeight="1">
      <c r="A10" s="112"/>
      <c r="B10" s="112"/>
      <c r="C10" s="112" t="s">
        <v>53</v>
      </c>
      <c r="D10" s="191">
        <f>SUM(D11:D20)</f>
        <v>1.581</v>
      </c>
      <c r="E10" s="192"/>
      <c r="F10" s="191">
        <f>SUM(F11:F20)</f>
        <v>7.1461</v>
      </c>
      <c r="G10" s="192"/>
      <c r="H10" s="192"/>
      <c r="I10" s="193"/>
      <c r="J10" s="193"/>
      <c r="K10" s="193"/>
      <c r="L10" s="193"/>
      <c r="M10" s="191"/>
    </row>
    <row r="11" spans="1:13" s="6" customFormat="1" ht="23.25" customHeight="1">
      <c r="A11" s="170"/>
      <c r="B11" s="170"/>
      <c r="C11" s="176" t="s">
        <v>123</v>
      </c>
      <c r="D11" s="182"/>
      <c r="E11" s="175"/>
      <c r="F11" s="172"/>
      <c r="G11" s="184"/>
      <c r="H11" s="184"/>
      <c r="I11" s="182"/>
      <c r="J11" s="184"/>
      <c r="K11" s="184"/>
      <c r="L11" s="182"/>
      <c r="M11" s="172"/>
    </row>
    <row r="12" spans="1:13" s="6" customFormat="1" ht="18" customHeight="1">
      <c r="A12" s="98" t="s">
        <v>20</v>
      </c>
      <c r="B12" s="98" t="s">
        <v>178</v>
      </c>
      <c r="C12" s="13" t="s">
        <v>177</v>
      </c>
      <c r="D12" s="287"/>
      <c r="E12" s="17"/>
      <c r="F12" s="180"/>
      <c r="G12" s="183">
        <v>2015</v>
      </c>
      <c r="H12" s="183">
        <v>2015</v>
      </c>
      <c r="I12" s="188" t="s">
        <v>67</v>
      </c>
      <c r="J12" s="17" t="s">
        <v>93</v>
      </c>
      <c r="K12" s="183" t="s">
        <v>67</v>
      </c>
      <c r="L12" s="188" t="s">
        <v>67</v>
      </c>
      <c r="M12" s="180"/>
    </row>
    <row r="13" spans="1:13" s="6" customFormat="1" ht="20.25" customHeight="1">
      <c r="A13" s="198" t="s">
        <v>23</v>
      </c>
      <c r="B13" s="198" t="s">
        <v>162</v>
      </c>
      <c r="C13" s="129" t="s">
        <v>176</v>
      </c>
      <c r="D13" s="288">
        <f>(150+20)/1000</f>
        <v>0.17</v>
      </c>
      <c r="E13" s="620">
        <f>'Исп инв прогр 7.1 '!F52/1.18*1000000</f>
        <v>570089.0000000001</v>
      </c>
      <c r="F13" s="181">
        <f>(60+501)/1000</f>
        <v>0.561</v>
      </c>
      <c r="G13" s="189">
        <v>2015</v>
      </c>
      <c r="H13" s="189">
        <v>2015</v>
      </c>
      <c r="I13" s="190" t="s">
        <v>67</v>
      </c>
      <c r="J13" s="178" t="s">
        <v>93</v>
      </c>
      <c r="K13" s="189" t="s">
        <v>67</v>
      </c>
      <c r="L13" s="190" t="s">
        <v>67</v>
      </c>
      <c r="M13" s="613">
        <f>E13/F13</f>
        <v>1016201.4260249556</v>
      </c>
    </row>
    <row r="14" spans="1:13" s="6" customFormat="1" ht="22.5" customHeight="1">
      <c r="A14" s="173"/>
      <c r="B14" s="173"/>
      <c r="C14" s="174" t="s">
        <v>114</v>
      </c>
      <c r="D14" s="182"/>
      <c r="E14" s="621"/>
      <c r="F14" s="182"/>
      <c r="G14" s="184"/>
      <c r="H14" s="184"/>
      <c r="I14" s="182"/>
      <c r="J14" s="172"/>
      <c r="K14" s="184"/>
      <c r="L14" s="182"/>
      <c r="M14" s="182"/>
    </row>
    <row r="15" spans="1:13" s="6" customFormat="1" ht="19.5" customHeight="1">
      <c r="A15" s="198" t="s">
        <v>109</v>
      </c>
      <c r="B15" s="198" t="s">
        <v>163</v>
      </c>
      <c r="C15" s="131" t="s">
        <v>179</v>
      </c>
      <c r="D15" s="189"/>
      <c r="E15" s="622"/>
      <c r="F15" s="181"/>
      <c r="G15" s="189">
        <v>2015</v>
      </c>
      <c r="H15" s="189">
        <v>2015</v>
      </c>
      <c r="I15" s="190" t="s">
        <v>67</v>
      </c>
      <c r="J15" s="178" t="s">
        <v>93</v>
      </c>
      <c r="K15" s="189" t="s">
        <v>67</v>
      </c>
      <c r="L15" s="190" t="s">
        <v>67</v>
      </c>
      <c r="M15" s="181"/>
    </row>
    <row r="16" spans="1:13" s="6" customFormat="1" ht="21" customHeight="1">
      <c r="A16" s="170"/>
      <c r="B16" s="170"/>
      <c r="C16" s="203" t="s">
        <v>116</v>
      </c>
      <c r="D16" s="186"/>
      <c r="E16" s="623"/>
      <c r="F16" s="171"/>
      <c r="G16" s="171"/>
      <c r="H16" s="171"/>
      <c r="I16" s="172"/>
      <c r="J16" s="171"/>
      <c r="K16" s="171"/>
      <c r="L16" s="172"/>
      <c r="M16" s="171"/>
    </row>
    <row r="17" spans="1:13" s="6" customFormat="1" ht="33" customHeight="1">
      <c r="A17" s="196" t="s">
        <v>113</v>
      </c>
      <c r="B17" s="196" t="s">
        <v>115</v>
      </c>
      <c r="C17" s="13" t="s">
        <v>156</v>
      </c>
      <c r="D17" s="140">
        <f>(15+15+14+15+15+15+15+15+15+5+15+5+15+8+10)/1000</f>
        <v>0.192</v>
      </c>
      <c r="E17" s="624">
        <f>'Исп инв прогр 7.1 '!F44/1.18*1000000</f>
        <v>1039776</v>
      </c>
      <c r="F17" s="287">
        <f>(210+190.5+31+135+200+231+113+116+80+232+276+60+135.1+360.5+45)/1000</f>
        <v>2.4151</v>
      </c>
      <c r="G17" s="183">
        <v>2015</v>
      </c>
      <c r="H17" s="183">
        <v>2015</v>
      </c>
      <c r="I17" s="188" t="s">
        <v>67</v>
      </c>
      <c r="J17" s="17" t="s">
        <v>93</v>
      </c>
      <c r="K17" s="183" t="s">
        <v>67</v>
      </c>
      <c r="L17" s="188" t="s">
        <v>67</v>
      </c>
      <c r="M17" s="614">
        <f>E17/F17</f>
        <v>430531.2409424041</v>
      </c>
    </row>
    <row r="18" spans="1:13" s="6" customFormat="1" ht="32.25" customHeight="1">
      <c r="A18" s="197" t="s">
        <v>115</v>
      </c>
      <c r="B18" s="197" t="s">
        <v>157</v>
      </c>
      <c r="C18" s="129" t="s">
        <v>158</v>
      </c>
      <c r="D18" s="142">
        <f>(3+60+40+15+50+109+40+50+40+250+100+50+50+18+20+5+20+100+15+100+84)/1000</f>
        <v>1.219</v>
      </c>
      <c r="E18" s="620">
        <f>'Исп инв прогр 7.1 '!F45/1.18*1000000</f>
        <v>2064479</v>
      </c>
      <c r="F18" s="288">
        <f>(28+500+309+40+75+190+25+272+348+182+170+168+40+501+243+155+235+365+255+69)/1000</f>
        <v>4.17</v>
      </c>
      <c r="G18" s="189">
        <v>2015</v>
      </c>
      <c r="H18" s="189">
        <v>2015</v>
      </c>
      <c r="I18" s="190" t="s">
        <v>67</v>
      </c>
      <c r="J18" s="178" t="s">
        <v>93</v>
      </c>
      <c r="K18" s="189" t="s">
        <v>67</v>
      </c>
      <c r="L18" s="190" t="s">
        <v>67</v>
      </c>
      <c r="M18" s="613">
        <f>E18/F18</f>
        <v>495078.89688249404</v>
      </c>
    </row>
    <row r="19" spans="1:13" s="6" customFormat="1" ht="22.5" customHeight="1">
      <c r="A19" s="170"/>
      <c r="B19" s="170"/>
      <c r="C19" s="203" t="s">
        <v>118</v>
      </c>
      <c r="D19" s="186"/>
      <c r="E19" s="171"/>
      <c r="F19" s="184"/>
      <c r="G19" s="184"/>
      <c r="H19" s="184"/>
      <c r="I19" s="182"/>
      <c r="J19" s="184"/>
      <c r="K19" s="184"/>
      <c r="L19" s="182"/>
      <c r="M19" s="184"/>
    </row>
    <row r="20" spans="1:13" s="6" customFormat="1" ht="23.25" customHeight="1">
      <c r="A20" s="198" t="s">
        <v>117</v>
      </c>
      <c r="B20" s="198" t="s">
        <v>159</v>
      </c>
      <c r="C20" s="131" t="s">
        <v>160</v>
      </c>
      <c r="D20" s="187"/>
      <c r="E20" s="177"/>
      <c r="F20" s="185"/>
      <c r="G20" s="189">
        <v>2015</v>
      </c>
      <c r="H20" s="189">
        <v>2015</v>
      </c>
      <c r="I20" s="190" t="s">
        <v>67</v>
      </c>
      <c r="J20" s="178" t="s">
        <v>93</v>
      </c>
      <c r="K20" s="189" t="s">
        <v>67</v>
      </c>
      <c r="L20" s="190" t="s">
        <v>67</v>
      </c>
      <c r="M20" s="185"/>
    </row>
    <row r="21" spans="1:13" s="2" customFormat="1" ht="17.25" customHeight="1">
      <c r="A21" s="64"/>
      <c r="B21" s="64" t="s">
        <v>25</v>
      </c>
      <c r="F21" s="1"/>
      <c r="M21" s="1"/>
    </row>
    <row r="22" spans="1:12" ht="15.75">
      <c r="A22" s="417" t="s">
        <v>25</v>
      </c>
      <c r="C22" s="2" t="s">
        <v>241</v>
      </c>
      <c r="I22" s="1"/>
      <c r="J22" s="1"/>
      <c r="K22" s="1"/>
      <c r="L22" s="1"/>
    </row>
    <row r="23" spans="9:12" ht="12.75">
      <c r="I23" s="1"/>
      <c r="J23" s="1"/>
      <c r="K23" s="1"/>
      <c r="L23" s="1"/>
    </row>
    <row r="24" spans="9:12" ht="12.75">
      <c r="I24" s="1"/>
      <c r="J24" s="1"/>
      <c r="K24" s="1"/>
      <c r="L24" s="1"/>
    </row>
    <row r="25" spans="9:12" ht="12.75">
      <c r="I25" s="1"/>
      <c r="J25" s="1"/>
      <c r="K25" s="1"/>
      <c r="L25" s="1"/>
    </row>
    <row r="26" spans="9:12" ht="12.75">
      <c r="I26" s="1"/>
      <c r="J26" s="1"/>
      <c r="K26" s="1"/>
      <c r="L26" s="1"/>
    </row>
    <row r="27" spans="9:12" ht="12.75">
      <c r="I27" s="1"/>
      <c r="J27" s="1"/>
      <c r="K27" s="1"/>
      <c r="L27" s="1"/>
    </row>
    <row r="28" spans="9:12" ht="12.75">
      <c r="I28" s="1"/>
      <c r="J28" s="1"/>
      <c r="K28" s="1"/>
      <c r="L28" s="1"/>
    </row>
    <row r="29" spans="9:12" ht="12.75">
      <c r="I29" s="1"/>
      <c r="J29" s="1"/>
      <c r="K29" s="1"/>
      <c r="L29" s="1"/>
    </row>
    <row r="30" spans="9:12" ht="12.75">
      <c r="I30" s="1"/>
      <c r="J30" s="1"/>
      <c r="K30" s="1"/>
      <c r="L30" s="1"/>
    </row>
    <row r="31" spans="9:12" ht="12.75">
      <c r="I31" s="1"/>
      <c r="J31" s="1"/>
      <c r="K31" s="1"/>
      <c r="L31" s="1"/>
    </row>
    <row r="32" spans="9:12" ht="12.75">
      <c r="I32" s="1"/>
      <c r="J32" s="1"/>
      <c r="K32" s="1"/>
      <c r="L32" s="1"/>
    </row>
    <row r="33" spans="9:12" ht="12.75">
      <c r="I33" s="1"/>
      <c r="J33" s="1"/>
      <c r="K33" s="1"/>
      <c r="L33" s="1"/>
    </row>
    <row r="34" spans="9:12" ht="12.75">
      <c r="I34" s="1"/>
      <c r="J34" s="1"/>
      <c r="K34" s="1"/>
      <c r="L34" s="1"/>
    </row>
    <row r="35" spans="9:12" ht="12.75">
      <c r="I35" s="1"/>
      <c r="J35" s="1"/>
      <c r="K35" s="1"/>
      <c r="L35" s="1"/>
    </row>
    <row r="36" spans="9:12" ht="12.75">
      <c r="I36" s="1"/>
      <c r="J36" s="1"/>
      <c r="K36" s="1"/>
      <c r="L36" s="1"/>
    </row>
    <row r="37" spans="9:12" ht="12.75">
      <c r="I37" s="1"/>
      <c r="J37" s="1"/>
      <c r="K37" s="1"/>
      <c r="L37" s="1"/>
    </row>
    <row r="38" spans="9:12" ht="12.75">
      <c r="I38" s="1"/>
      <c r="J38" s="1"/>
      <c r="K38" s="1"/>
      <c r="L38" s="1"/>
    </row>
    <row r="39" spans="9:12" ht="12.75">
      <c r="I39" s="1"/>
      <c r="J39" s="1"/>
      <c r="K39" s="1"/>
      <c r="L39" s="1"/>
    </row>
    <row r="40" spans="9:12" ht="12.75">
      <c r="I40" s="1"/>
      <c r="J40" s="1"/>
      <c r="K40" s="1"/>
      <c r="L40" s="1"/>
    </row>
    <row r="41" spans="9:12" ht="12.75">
      <c r="I41" s="1"/>
      <c r="J41" s="1"/>
      <c r="K41" s="1"/>
      <c r="L41" s="1"/>
    </row>
    <row r="42" spans="9:12" ht="12.75">
      <c r="I42" s="1"/>
      <c r="J42" s="1"/>
      <c r="K42" s="1"/>
      <c r="L42" s="1"/>
    </row>
    <row r="43" spans="9:12" ht="12.75">
      <c r="I43" s="1"/>
      <c r="J43" s="1"/>
      <c r="K43" s="1"/>
      <c r="L43" s="1"/>
    </row>
    <row r="44" spans="9:12" ht="12.75">
      <c r="I44" s="1"/>
      <c r="J44" s="1"/>
      <c r="K44" s="1"/>
      <c r="L44" s="1"/>
    </row>
    <row r="45" spans="9:12" ht="12.75">
      <c r="I45" s="1"/>
      <c r="J45" s="1"/>
      <c r="K45" s="1"/>
      <c r="L45" s="1"/>
    </row>
    <row r="46" spans="9:12" ht="12.75">
      <c r="I46" s="1"/>
      <c r="J46" s="1"/>
      <c r="K46" s="1"/>
      <c r="L46" s="1"/>
    </row>
    <row r="47" spans="9:12" ht="12.75">
      <c r="I47" s="1"/>
      <c r="J47" s="1"/>
      <c r="K47" s="1"/>
      <c r="L47" s="1"/>
    </row>
    <row r="48" spans="9:12" ht="12.75">
      <c r="I48" s="1"/>
      <c r="J48" s="1"/>
      <c r="K48" s="1"/>
      <c r="L48" s="1"/>
    </row>
    <row r="49" spans="9:12" ht="12.75">
      <c r="I49" s="1"/>
      <c r="J49" s="1"/>
      <c r="K49" s="1"/>
      <c r="L49" s="1"/>
    </row>
  </sheetData>
  <mergeCells count="18">
    <mergeCell ref="M7:M8"/>
    <mergeCell ref="C7:C8"/>
    <mergeCell ref="H1:L1"/>
    <mergeCell ref="B3:L3"/>
    <mergeCell ref="B5:L5"/>
    <mergeCell ref="I2:L2"/>
    <mergeCell ref="A4:L4"/>
    <mergeCell ref="I7:I8"/>
    <mergeCell ref="J7:J8"/>
    <mergeCell ref="H7:H8"/>
    <mergeCell ref="G7:G8"/>
    <mergeCell ref="K7:K8"/>
    <mergeCell ref="L7:L8"/>
    <mergeCell ref="A7:A8"/>
    <mergeCell ref="B7:B8"/>
    <mergeCell ref="D7:D8"/>
    <mergeCell ref="F7:F8"/>
    <mergeCell ref="E7:E8"/>
  </mergeCells>
  <printOptions/>
  <pageMargins left="0.3937007874015748" right="0" top="0.3937007874015748" bottom="0" header="0" footer="0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66"/>
  <sheetViews>
    <sheetView zoomScale="85" zoomScaleNormal="85" zoomScaleSheetLayoutView="100" workbookViewId="0" topLeftCell="A2">
      <selection activeCell="E45" sqref="E45"/>
    </sheetView>
  </sheetViews>
  <sheetFormatPr defaultColWidth="9.00390625" defaultRowHeight="12.75"/>
  <cols>
    <col min="1" max="1" width="7.00390625" style="3" customWidth="1"/>
    <col min="2" max="2" width="8.125" style="3" hidden="1" customWidth="1"/>
    <col min="3" max="3" width="37.625" style="3" customWidth="1"/>
    <col min="4" max="4" width="13.00390625" style="3" customWidth="1"/>
    <col min="5" max="5" width="14.875" style="3" customWidth="1"/>
    <col min="6" max="6" width="9.875" style="1" customWidth="1"/>
    <col min="7" max="7" width="8.00390625" style="3" customWidth="1"/>
    <col min="8" max="8" width="11.625" style="3" customWidth="1"/>
    <col min="9" max="9" width="7.00390625" style="3" customWidth="1"/>
    <col min="10" max="10" width="7.125" style="3" customWidth="1"/>
    <col min="11" max="11" width="6.25390625" style="3" customWidth="1"/>
    <col min="12" max="12" width="6.125" style="3" customWidth="1"/>
    <col min="13" max="16384" width="0.875" style="3" customWidth="1"/>
  </cols>
  <sheetData>
    <row r="1" spans="6:12" s="8" customFormat="1" ht="35.25" customHeight="1" hidden="1">
      <c r="F1" s="1"/>
      <c r="H1" s="580" t="s">
        <v>62</v>
      </c>
      <c r="I1" s="592"/>
      <c r="J1" s="592"/>
      <c r="K1" s="592"/>
      <c r="L1" s="592"/>
    </row>
    <row r="2" spans="9:12" ht="15.75">
      <c r="I2" s="588" t="s">
        <v>138</v>
      </c>
      <c r="J2" s="588"/>
      <c r="K2" s="588"/>
      <c r="L2" s="588"/>
    </row>
    <row r="3" spans="2:12" s="7" customFormat="1" ht="20.25">
      <c r="B3" s="586" t="s">
        <v>69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</row>
    <row r="4" spans="2:12" ht="11.25">
      <c r="B4" s="587" t="s">
        <v>44</v>
      </c>
      <c r="C4" s="587"/>
      <c r="D4" s="587"/>
      <c r="E4" s="587"/>
      <c r="F4" s="587"/>
      <c r="G4" s="587"/>
      <c r="H4" s="587"/>
      <c r="I4" s="587"/>
      <c r="J4" s="587"/>
      <c r="K4" s="587"/>
      <c r="L4" s="587"/>
    </row>
    <row r="5" spans="6:12" s="8" customFormat="1" ht="36" customHeight="1">
      <c r="F5" s="1"/>
      <c r="H5" s="582" t="s">
        <v>105</v>
      </c>
      <c r="I5" s="583"/>
      <c r="J5" s="583"/>
      <c r="K5" s="583"/>
      <c r="L5" s="583"/>
    </row>
    <row r="6" spans="6:12" s="8" customFormat="1" ht="16.5">
      <c r="F6" s="1"/>
      <c r="H6" s="584" t="s">
        <v>127</v>
      </c>
      <c r="I6" s="583"/>
      <c r="J6" s="583"/>
      <c r="K6" s="583"/>
      <c r="L6" s="583"/>
    </row>
    <row r="7" spans="6:12" s="8" customFormat="1" ht="16.5">
      <c r="F7" s="1"/>
      <c r="H7" s="585" t="s">
        <v>185</v>
      </c>
      <c r="I7" s="583"/>
      <c r="J7" s="583"/>
      <c r="K7" s="583"/>
      <c r="L7" s="583"/>
    </row>
    <row r="8" spans="9:12" s="1" customFormat="1" ht="12.75">
      <c r="I8" s="593"/>
      <c r="J8" s="592"/>
      <c r="K8" s="592"/>
      <c r="L8" s="592"/>
    </row>
    <row r="9" s="1" customFormat="1" ht="12.75"/>
    <row r="11" spans="1:12" s="6" customFormat="1" ht="46.5" customHeight="1">
      <c r="A11" s="569" t="s">
        <v>71</v>
      </c>
      <c r="B11" s="569" t="s">
        <v>71</v>
      </c>
      <c r="C11" s="313" t="s">
        <v>76</v>
      </c>
      <c r="D11" s="571" t="s">
        <v>54</v>
      </c>
      <c r="E11" s="572"/>
      <c r="F11" s="573"/>
      <c r="G11" s="571" t="s">
        <v>55</v>
      </c>
      <c r="H11" s="574"/>
      <c r="I11" s="571" t="s">
        <v>64</v>
      </c>
      <c r="J11" s="576"/>
      <c r="K11" s="576"/>
      <c r="L11" s="574"/>
    </row>
    <row r="12" spans="1:12" s="6" customFormat="1" ht="29.25" customHeight="1">
      <c r="A12" s="570"/>
      <c r="B12" s="570"/>
      <c r="C12" s="314"/>
      <c r="D12" s="313" t="s">
        <v>70</v>
      </c>
      <c r="E12" s="313" t="s">
        <v>63</v>
      </c>
      <c r="F12" s="569" t="s">
        <v>68</v>
      </c>
      <c r="G12" s="578" t="s">
        <v>74</v>
      </c>
      <c r="H12" s="578" t="s">
        <v>75</v>
      </c>
      <c r="I12" s="577" t="s">
        <v>73</v>
      </c>
      <c r="J12" s="577" t="s">
        <v>72</v>
      </c>
      <c r="K12" s="577" t="s">
        <v>65</v>
      </c>
      <c r="L12" s="577" t="s">
        <v>66</v>
      </c>
    </row>
    <row r="13" spans="1:12" s="6" customFormat="1" ht="111.75" customHeight="1">
      <c r="A13" s="591"/>
      <c r="B13" s="591"/>
      <c r="C13" s="575"/>
      <c r="D13" s="575"/>
      <c r="E13" s="575"/>
      <c r="F13" s="591"/>
      <c r="G13" s="579"/>
      <c r="H13" s="579"/>
      <c r="I13" s="577"/>
      <c r="J13" s="577"/>
      <c r="K13" s="577"/>
      <c r="L13" s="577"/>
    </row>
    <row r="14" spans="1:12" s="6" customFormat="1" ht="15.75" customHeight="1" hidden="1">
      <c r="A14" s="17">
        <v>1</v>
      </c>
      <c r="B14" s="17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65">
        <v>8</v>
      </c>
      <c r="J14" s="65">
        <v>9</v>
      </c>
      <c r="K14" s="65">
        <v>10</v>
      </c>
      <c r="L14" s="65">
        <v>11</v>
      </c>
    </row>
    <row r="15" spans="1:12" s="116" customFormat="1" ht="15.75" customHeight="1">
      <c r="A15" s="112"/>
      <c r="B15" s="112"/>
      <c r="C15" s="112" t="s">
        <v>53</v>
      </c>
      <c r="D15" s="191">
        <f>SUM(D16:D37)</f>
        <v>5.76547</v>
      </c>
      <c r="E15" s="192"/>
      <c r="F15" s="418">
        <f>SUM(F16:F37)</f>
        <v>24.285</v>
      </c>
      <c r="G15" s="192"/>
      <c r="H15" s="192"/>
      <c r="I15" s="193"/>
      <c r="J15" s="193"/>
      <c r="K15" s="193"/>
      <c r="L15" s="193"/>
    </row>
    <row r="16" spans="1:20" s="6" customFormat="1" ht="30.75" customHeight="1">
      <c r="A16" s="82" t="s">
        <v>20</v>
      </c>
      <c r="B16" s="119" t="s">
        <v>111</v>
      </c>
      <c r="C16" s="13" t="s">
        <v>149</v>
      </c>
      <c r="D16" s="194">
        <f>2*250*0.89/1000</f>
        <v>0.445</v>
      </c>
      <c r="E16" s="183" t="s">
        <v>61</v>
      </c>
      <c r="F16" s="188"/>
      <c r="G16" s="183">
        <v>2015</v>
      </c>
      <c r="H16" s="183">
        <v>2015</v>
      </c>
      <c r="I16" s="188" t="s">
        <v>67</v>
      </c>
      <c r="J16" s="17" t="s">
        <v>93</v>
      </c>
      <c r="K16" s="183" t="s">
        <v>67</v>
      </c>
      <c r="L16" s="188" t="s">
        <v>67</v>
      </c>
      <c r="M16" s="1"/>
      <c r="N16" s="1"/>
      <c r="O16" s="1"/>
      <c r="P16" s="1"/>
      <c r="Q16" s="1"/>
      <c r="R16" s="1"/>
      <c r="S16" s="1"/>
      <c r="T16" s="1"/>
    </row>
    <row r="17" spans="1:20" s="6" customFormat="1" ht="27.75" customHeight="1">
      <c r="A17" s="82" t="s">
        <v>23</v>
      </c>
      <c r="B17" s="119" t="s">
        <v>112</v>
      </c>
      <c r="C17" s="13" t="s">
        <v>150</v>
      </c>
      <c r="D17" s="194">
        <f>2*250*0.89/1000</f>
        <v>0.445</v>
      </c>
      <c r="E17" s="183" t="s">
        <v>61</v>
      </c>
      <c r="F17" s="195"/>
      <c r="G17" s="183">
        <v>2015</v>
      </c>
      <c r="H17" s="183">
        <v>2015</v>
      </c>
      <c r="I17" s="188" t="s">
        <v>67</v>
      </c>
      <c r="J17" s="17" t="s">
        <v>93</v>
      </c>
      <c r="K17" s="183" t="s">
        <v>67</v>
      </c>
      <c r="L17" s="188" t="s">
        <v>67</v>
      </c>
      <c r="M17" s="1"/>
      <c r="N17" s="1"/>
      <c r="O17" s="1"/>
      <c r="P17" s="1"/>
      <c r="Q17" s="1"/>
      <c r="R17" s="1"/>
      <c r="S17" s="1"/>
      <c r="T17" s="1"/>
    </row>
    <row r="18" spans="1:20" s="6" customFormat="1" ht="37.5" customHeight="1">
      <c r="A18" s="82" t="s">
        <v>109</v>
      </c>
      <c r="B18" s="119" t="s">
        <v>141</v>
      </c>
      <c r="C18" s="13" t="s">
        <v>151</v>
      </c>
      <c r="D18" s="194">
        <f>1*250*0.89/1000</f>
        <v>0.2225</v>
      </c>
      <c r="E18" s="183" t="s">
        <v>61</v>
      </c>
      <c r="F18" s="195"/>
      <c r="G18" s="183">
        <v>2015</v>
      </c>
      <c r="H18" s="183">
        <v>2015</v>
      </c>
      <c r="I18" s="188" t="s">
        <v>67</v>
      </c>
      <c r="J18" s="17" t="s">
        <v>93</v>
      </c>
      <c r="K18" s="183" t="s">
        <v>67</v>
      </c>
      <c r="L18" s="188" t="s">
        <v>67</v>
      </c>
      <c r="M18" s="1"/>
      <c r="N18" s="1"/>
      <c r="O18" s="1"/>
      <c r="P18" s="1"/>
      <c r="Q18" s="1"/>
      <c r="R18" s="1"/>
      <c r="S18" s="1"/>
      <c r="T18" s="1"/>
    </row>
    <row r="19" spans="1:20" s="6" customFormat="1" ht="34.5" customHeight="1">
      <c r="A19" s="81" t="s">
        <v>113</v>
      </c>
      <c r="B19" s="120" t="s">
        <v>117</v>
      </c>
      <c r="C19" s="13" t="s">
        <v>152</v>
      </c>
      <c r="D19" s="194">
        <f>2*630*0.89/1000</f>
        <v>1.1214000000000002</v>
      </c>
      <c r="E19" s="183"/>
      <c r="F19" s="195"/>
      <c r="G19" s="183">
        <v>2015</v>
      </c>
      <c r="H19" s="183">
        <v>2015</v>
      </c>
      <c r="I19" s="188" t="s">
        <v>67</v>
      </c>
      <c r="J19" s="17" t="s">
        <v>93</v>
      </c>
      <c r="K19" s="183" t="s">
        <v>67</v>
      </c>
      <c r="L19" s="188" t="s">
        <v>67</v>
      </c>
      <c r="M19" s="1"/>
      <c r="N19" s="1"/>
      <c r="O19" s="1"/>
      <c r="P19" s="1"/>
      <c r="Q19" s="1"/>
      <c r="R19" s="1"/>
      <c r="S19" s="1"/>
      <c r="T19" s="1"/>
    </row>
    <row r="20" spans="1:12" s="6" customFormat="1" ht="46.5" customHeight="1">
      <c r="A20" s="569" t="s">
        <v>71</v>
      </c>
      <c r="B20" s="569" t="s">
        <v>71</v>
      </c>
      <c r="C20" s="313" t="s">
        <v>76</v>
      </c>
      <c r="D20" s="571" t="s">
        <v>54</v>
      </c>
      <c r="E20" s="572"/>
      <c r="F20" s="573"/>
      <c r="G20" s="571" t="s">
        <v>55</v>
      </c>
      <c r="H20" s="574"/>
      <c r="I20" s="571" t="s">
        <v>64</v>
      </c>
      <c r="J20" s="576"/>
      <c r="K20" s="576"/>
      <c r="L20" s="574"/>
    </row>
    <row r="21" spans="1:12" s="6" customFormat="1" ht="29.25" customHeight="1">
      <c r="A21" s="570"/>
      <c r="B21" s="570"/>
      <c r="C21" s="314"/>
      <c r="D21" s="313" t="s">
        <v>70</v>
      </c>
      <c r="E21" s="313" t="s">
        <v>63</v>
      </c>
      <c r="F21" s="569" t="s">
        <v>68</v>
      </c>
      <c r="G21" s="578" t="s">
        <v>74</v>
      </c>
      <c r="H21" s="578" t="s">
        <v>75</v>
      </c>
      <c r="I21" s="577" t="s">
        <v>73</v>
      </c>
      <c r="J21" s="577" t="s">
        <v>72</v>
      </c>
      <c r="K21" s="577" t="s">
        <v>65</v>
      </c>
      <c r="L21" s="577" t="s">
        <v>66</v>
      </c>
    </row>
    <row r="22" spans="1:12" s="6" customFormat="1" ht="111.75" customHeight="1">
      <c r="A22" s="591"/>
      <c r="B22" s="591"/>
      <c r="C22" s="575"/>
      <c r="D22" s="575"/>
      <c r="E22" s="575"/>
      <c r="F22" s="591"/>
      <c r="G22" s="579"/>
      <c r="H22" s="579"/>
      <c r="I22" s="577"/>
      <c r="J22" s="577"/>
      <c r="K22" s="577"/>
      <c r="L22" s="577"/>
    </row>
    <row r="23" spans="1:12" s="6" customFormat="1" ht="17.25" customHeight="1">
      <c r="A23" s="197" t="s">
        <v>115</v>
      </c>
      <c r="B23" s="199" t="s">
        <v>142</v>
      </c>
      <c r="C23" s="129" t="s">
        <v>164</v>
      </c>
      <c r="D23" s="200">
        <f>1*63*0.89/1000</f>
        <v>0.05607</v>
      </c>
      <c r="E23" s="201"/>
      <c r="F23" s="419"/>
      <c r="G23" s="189">
        <v>2015</v>
      </c>
      <c r="H23" s="189">
        <v>2015</v>
      </c>
      <c r="I23" s="190" t="s">
        <v>67</v>
      </c>
      <c r="J23" s="178" t="s">
        <v>93</v>
      </c>
      <c r="K23" s="189" t="s">
        <v>67</v>
      </c>
      <c r="L23" s="190" t="s">
        <v>67</v>
      </c>
    </row>
    <row r="24" spans="1:12" s="6" customFormat="1" ht="18" customHeight="1">
      <c r="A24" s="197" t="s">
        <v>117</v>
      </c>
      <c r="B24" s="199" t="s">
        <v>143</v>
      </c>
      <c r="C24" s="131" t="s">
        <v>144</v>
      </c>
      <c r="D24" s="200">
        <f>2*100*0.89/1000</f>
        <v>0.178</v>
      </c>
      <c r="E24" s="201"/>
      <c r="F24" s="419"/>
      <c r="G24" s="189">
        <v>2015</v>
      </c>
      <c r="H24" s="189">
        <v>2015</v>
      </c>
      <c r="I24" s="190" t="s">
        <v>67</v>
      </c>
      <c r="J24" s="178" t="s">
        <v>93</v>
      </c>
      <c r="K24" s="189" t="s">
        <v>67</v>
      </c>
      <c r="L24" s="190" t="s">
        <v>67</v>
      </c>
    </row>
    <row r="25" spans="1:20" s="6" customFormat="1" ht="18.75" customHeight="1">
      <c r="A25" s="197" t="s">
        <v>167</v>
      </c>
      <c r="B25" s="199" t="s">
        <v>145</v>
      </c>
      <c r="C25" s="131" t="s">
        <v>154</v>
      </c>
      <c r="D25" s="200">
        <f>1*100*0.89/1000</f>
        <v>0.089</v>
      </c>
      <c r="E25" s="178"/>
      <c r="F25" s="202"/>
      <c r="G25" s="189">
        <v>2015</v>
      </c>
      <c r="H25" s="189">
        <v>2015</v>
      </c>
      <c r="I25" s="190" t="s">
        <v>67</v>
      </c>
      <c r="J25" s="178" t="s">
        <v>93</v>
      </c>
      <c r="K25" s="189" t="s">
        <v>67</v>
      </c>
      <c r="L25" s="190" t="s">
        <v>67</v>
      </c>
      <c r="M25" s="1"/>
      <c r="N25" s="1"/>
      <c r="O25" s="1"/>
      <c r="P25" s="1"/>
      <c r="Q25" s="1"/>
      <c r="R25" s="1"/>
      <c r="S25" s="1"/>
      <c r="T25" s="1"/>
    </row>
    <row r="26" spans="1:20" s="6" customFormat="1" ht="18.75" customHeight="1">
      <c r="A26" s="197" t="s">
        <v>168</v>
      </c>
      <c r="B26" s="199" t="s">
        <v>146</v>
      </c>
      <c r="C26" s="132" t="s">
        <v>155</v>
      </c>
      <c r="D26" s="200">
        <f>1*250*0.89/1000</f>
        <v>0.2225</v>
      </c>
      <c r="E26" s="178"/>
      <c r="F26" s="202"/>
      <c r="G26" s="189">
        <v>2015</v>
      </c>
      <c r="H26" s="189">
        <v>2015</v>
      </c>
      <c r="I26" s="190" t="s">
        <v>67</v>
      </c>
      <c r="J26" s="178" t="s">
        <v>93</v>
      </c>
      <c r="K26" s="189" t="s">
        <v>67</v>
      </c>
      <c r="L26" s="190" t="s">
        <v>67</v>
      </c>
      <c r="M26" s="1"/>
      <c r="N26" s="1"/>
      <c r="O26" s="1"/>
      <c r="P26" s="1"/>
      <c r="Q26" s="1"/>
      <c r="R26" s="1"/>
      <c r="S26" s="1"/>
      <c r="T26" s="1"/>
    </row>
    <row r="27" spans="1:20" s="6" customFormat="1" ht="18.75" customHeight="1">
      <c r="A27" s="197" t="s">
        <v>169</v>
      </c>
      <c r="B27" s="199" t="s">
        <v>147</v>
      </c>
      <c r="C27" s="132" t="s">
        <v>148</v>
      </c>
      <c r="D27" s="200">
        <f>2*1000*0.89/1000</f>
        <v>1.78</v>
      </c>
      <c r="E27" s="178"/>
      <c r="F27" s="202"/>
      <c r="G27" s="189">
        <v>2015</v>
      </c>
      <c r="H27" s="189">
        <v>2015</v>
      </c>
      <c r="I27" s="190" t="s">
        <v>67</v>
      </c>
      <c r="J27" s="178" t="s">
        <v>93</v>
      </c>
      <c r="K27" s="189" t="s">
        <v>67</v>
      </c>
      <c r="L27" s="190" t="s">
        <v>67</v>
      </c>
      <c r="M27" s="1"/>
      <c r="N27" s="1"/>
      <c r="O27" s="1"/>
      <c r="P27" s="1"/>
      <c r="Q27" s="1"/>
      <c r="R27" s="1"/>
      <c r="S27" s="1"/>
      <c r="T27" s="1"/>
    </row>
    <row r="28" spans="1:20" s="6" customFormat="1" ht="14.25" customHeight="1">
      <c r="A28" s="170"/>
      <c r="B28" s="170"/>
      <c r="C28" s="176" t="s">
        <v>123</v>
      </c>
      <c r="D28" s="175"/>
      <c r="E28" s="175"/>
      <c r="F28" s="172"/>
      <c r="G28" s="184"/>
      <c r="H28" s="184"/>
      <c r="I28" s="182"/>
      <c r="J28" s="184"/>
      <c r="K28" s="184"/>
      <c r="L28" s="182"/>
      <c r="M28" s="1"/>
      <c r="N28" s="1"/>
      <c r="O28" s="1"/>
      <c r="P28" s="1"/>
      <c r="Q28" s="1"/>
      <c r="R28" s="1"/>
      <c r="S28" s="1"/>
      <c r="T28" s="1"/>
    </row>
    <row r="29" spans="1:20" s="6" customFormat="1" ht="24" customHeight="1">
      <c r="A29" s="98" t="s">
        <v>170</v>
      </c>
      <c r="B29" s="98" t="s">
        <v>178</v>
      </c>
      <c r="C29" s="13" t="s">
        <v>177</v>
      </c>
      <c r="D29" s="18"/>
      <c r="E29" s="17"/>
      <c r="F29" s="180">
        <f>2.5+1.6+1.4</f>
        <v>5.5</v>
      </c>
      <c r="G29" s="183">
        <v>2015</v>
      </c>
      <c r="H29" s="183">
        <v>2015</v>
      </c>
      <c r="I29" s="188" t="s">
        <v>67</v>
      </c>
      <c r="J29" s="17" t="s">
        <v>93</v>
      </c>
      <c r="K29" s="183" t="s">
        <v>67</v>
      </c>
      <c r="L29" s="188" t="s">
        <v>67</v>
      </c>
      <c r="M29" s="1"/>
      <c r="N29" s="1"/>
      <c r="O29" s="1"/>
      <c r="P29" s="1"/>
      <c r="Q29" s="1"/>
      <c r="R29" s="1"/>
      <c r="S29" s="1"/>
      <c r="T29" s="1"/>
    </row>
    <row r="30" spans="1:20" s="6" customFormat="1" ht="24" customHeight="1">
      <c r="A30" s="198" t="s">
        <v>171</v>
      </c>
      <c r="B30" s="198" t="s">
        <v>162</v>
      </c>
      <c r="C30" s="129" t="s">
        <v>176</v>
      </c>
      <c r="D30" s="178"/>
      <c r="E30" s="178"/>
      <c r="F30" s="181">
        <f>0.5+0.2</f>
        <v>0.7</v>
      </c>
      <c r="G30" s="189">
        <v>2015</v>
      </c>
      <c r="H30" s="189">
        <v>2015</v>
      </c>
      <c r="I30" s="190" t="s">
        <v>67</v>
      </c>
      <c r="J30" s="178" t="s">
        <v>93</v>
      </c>
      <c r="K30" s="189" t="s">
        <v>67</v>
      </c>
      <c r="L30" s="190" t="s">
        <v>67</v>
      </c>
      <c r="M30" s="1"/>
      <c r="N30" s="1"/>
      <c r="O30" s="1"/>
      <c r="P30" s="1"/>
      <c r="Q30" s="1"/>
      <c r="R30" s="1"/>
      <c r="S30" s="1"/>
      <c r="T30" s="1"/>
    </row>
    <row r="31" spans="1:20" s="6" customFormat="1" ht="15" customHeight="1">
      <c r="A31" s="173"/>
      <c r="B31" s="173"/>
      <c r="C31" s="174" t="s">
        <v>114</v>
      </c>
      <c r="D31" s="175"/>
      <c r="E31" s="175"/>
      <c r="F31" s="182"/>
      <c r="G31" s="184"/>
      <c r="H31" s="184"/>
      <c r="I31" s="182"/>
      <c r="J31" s="172"/>
      <c r="K31" s="184"/>
      <c r="L31" s="182"/>
      <c r="M31" s="1"/>
      <c r="N31" s="1"/>
      <c r="O31" s="1"/>
      <c r="P31" s="1"/>
      <c r="Q31" s="1"/>
      <c r="R31" s="1"/>
      <c r="S31" s="1"/>
      <c r="T31" s="1"/>
    </row>
    <row r="32" spans="1:20" s="6" customFormat="1" ht="23.25" customHeight="1">
      <c r="A32" s="198" t="s">
        <v>172</v>
      </c>
      <c r="B32" s="198" t="s">
        <v>163</v>
      </c>
      <c r="C32" s="131" t="s">
        <v>179</v>
      </c>
      <c r="D32" s="178"/>
      <c r="E32" s="178"/>
      <c r="F32" s="181">
        <f>0.865+0.65+3.21</f>
        <v>4.725</v>
      </c>
      <c r="G32" s="189">
        <v>2015</v>
      </c>
      <c r="H32" s="189">
        <v>2015</v>
      </c>
      <c r="I32" s="190" t="s">
        <v>67</v>
      </c>
      <c r="J32" s="178" t="s">
        <v>93</v>
      </c>
      <c r="K32" s="189" t="s">
        <v>67</v>
      </c>
      <c r="L32" s="190" t="s">
        <v>67</v>
      </c>
      <c r="M32" s="1"/>
      <c r="N32" s="1"/>
      <c r="O32" s="1"/>
      <c r="P32" s="1"/>
      <c r="Q32" s="1"/>
      <c r="R32" s="1"/>
      <c r="S32" s="1"/>
      <c r="T32" s="1"/>
    </row>
    <row r="33" spans="1:20" s="6" customFormat="1" ht="15" customHeight="1">
      <c r="A33" s="170"/>
      <c r="B33" s="170"/>
      <c r="C33" s="203" t="s">
        <v>116</v>
      </c>
      <c r="D33" s="420"/>
      <c r="E33" s="171"/>
      <c r="F33" s="171"/>
      <c r="G33" s="171"/>
      <c r="H33" s="171"/>
      <c r="I33" s="172"/>
      <c r="J33" s="171"/>
      <c r="K33" s="171"/>
      <c r="L33" s="172"/>
      <c r="M33" s="1"/>
      <c r="N33" s="1"/>
      <c r="O33" s="1"/>
      <c r="P33" s="1"/>
      <c r="Q33" s="1"/>
      <c r="R33" s="1"/>
      <c r="S33" s="1"/>
      <c r="T33" s="1"/>
    </row>
    <row r="34" spans="1:20" s="6" customFormat="1" ht="33" customHeight="1">
      <c r="A34" s="196" t="s">
        <v>173</v>
      </c>
      <c r="B34" s="196" t="s">
        <v>115</v>
      </c>
      <c r="C34" s="13" t="s">
        <v>156</v>
      </c>
      <c r="D34" s="421">
        <f>176/1000</f>
        <v>0.176</v>
      </c>
      <c r="E34" s="17"/>
      <c r="F34" s="183">
        <v>12</v>
      </c>
      <c r="G34" s="183">
        <v>2015</v>
      </c>
      <c r="H34" s="183">
        <v>2015</v>
      </c>
      <c r="I34" s="188" t="s">
        <v>67</v>
      </c>
      <c r="J34" s="17" t="s">
        <v>93</v>
      </c>
      <c r="K34" s="183" t="s">
        <v>67</v>
      </c>
      <c r="L34" s="188" t="s">
        <v>67</v>
      </c>
      <c r="M34" s="1"/>
      <c r="N34" s="1"/>
      <c r="O34" s="1"/>
      <c r="P34" s="1"/>
      <c r="Q34" s="1"/>
      <c r="R34" s="1"/>
      <c r="S34" s="1"/>
      <c r="T34" s="1"/>
    </row>
    <row r="35" spans="1:20" s="6" customFormat="1" ht="32.25" customHeight="1">
      <c r="A35" s="197" t="s">
        <v>174</v>
      </c>
      <c r="B35" s="197" t="s">
        <v>157</v>
      </c>
      <c r="C35" s="129" t="s">
        <v>158</v>
      </c>
      <c r="D35" s="422">
        <f>15/1000</f>
        <v>0.015</v>
      </c>
      <c r="E35" s="179"/>
      <c r="F35" s="423">
        <v>0.5</v>
      </c>
      <c r="G35" s="189">
        <v>2015</v>
      </c>
      <c r="H35" s="189">
        <v>2015</v>
      </c>
      <c r="I35" s="190" t="s">
        <v>67</v>
      </c>
      <c r="J35" s="178" t="s">
        <v>93</v>
      </c>
      <c r="K35" s="189" t="s">
        <v>67</v>
      </c>
      <c r="L35" s="190" t="s">
        <v>67</v>
      </c>
      <c r="M35" s="1"/>
      <c r="N35" s="1"/>
      <c r="O35" s="1"/>
      <c r="P35" s="1"/>
      <c r="Q35" s="1"/>
      <c r="R35" s="1"/>
      <c r="S35" s="1"/>
      <c r="T35" s="1"/>
    </row>
    <row r="36" spans="1:20" s="6" customFormat="1" ht="15" customHeight="1">
      <c r="A36" s="170"/>
      <c r="B36" s="170"/>
      <c r="C36" s="203" t="s">
        <v>118</v>
      </c>
      <c r="D36" s="186"/>
      <c r="E36" s="171"/>
      <c r="F36" s="184"/>
      <c r="G36" s="184"/>
      <c r="H36" s="184"/>
      <c r="I36" s="182"/>
      <c r="J36" s="184"/>
      <c r="K36" s="184"/>
      <c r="L36" s="182"/>
      <c r="M36" s="1"/>
      <c r="N36" s="1"/>
      <c r="O36" s="1"/>
      <c r="P36" s="1"/>
      <c r="Q36" s="1"/>
      <c r="R36" s="1"/>
      <c r="S36" s="1"/>
      <c r="T36" s="1"/>
    </row>
    <row r="37" spans="1:20" s="6" customFormat="1" ht="27.75" customHeight="1">
      <c r="A37" s="198" t="s">
        <v>142</v>
      </c>
      <c r="B37" s="198" t="s">
        <v>159</v>
      </c>
      <c r="C37" s="131" t="s">
        <v>160</v>
      </c>
      <c r="D37" s="187">
        <f>(200+800+15)/1000</f>
        <v>1.015</v>
      </c>
      <c r="E37" s="177"/>
      <c r="F37" s="185">
        <f>0.2+0.4+0.26</f>
        <v>0.8600000000000001</v>
      </c>
      <c r="G37" s="189">
        <v>2015</v>
      </c>
      <c r="H37" s="189">
        <v>2015</v>
      </c>
      <c r="I37" s="190" t="s">
        <v>67</v>
      </c>
      <c r="J37" s="178" t="s">
        <v>93</v>
      </c>
      <c r="K37" s="189" t="s">
        <v>67</v>
      </c>
      <c r="L37" s="190" t="s">
        <v>67</v>
      </c>
      <c r="M37" s="1"/>
      <c r="N37" s="1"/>
      <c r="O37" s="1"/>
      <c r="P37" s="1"/>
      <c r="Q37" s="1"/>
      <c r="R37" s="1"/>
      <c r="S37" s="1"/>
      <c r="T37" s="1"/>
    </row>
    <row r="38" spans="1:6" s="2" customFormat="1" ht="17.25" customHeight="1">
      <c r="A38" s="64" t="s">
        <v>25</v>
      </c>
      <c r="B38" s="64" t="s">
        <v>25</v>
      </c>
      <c r="C38" s="2" t="s">
        <v>241</v>
      </c>
      <c r="F38" s="1"/>
    </row>
    <row r="39" spans="9:20" ht="12.75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9:20" ht="12.75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9:20" ht="12.7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9:20" ht="12.75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9:20" ht="12.7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9:20" ht="12.75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9:20" ht="12.75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9:20" ht="12.7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9:20" ht="12.75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9:20" ht="12.75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9:20" ht="12.75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9:20" ht="12.75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9:20" ht="12.7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9:20" ht="12.7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9:20" ht="12.7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9:20" ht="12.7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9:20" ht="12.7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9:20" ht="12.7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9:20" ht="12.7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9:20" ht="12.7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9:20" ht="12.7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9:20" ht="12.7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9:20" ht="12.7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9:20" ht="12.7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9:20" ht="12.7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9:20" ht="12.7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9:20" ht="12.7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9:20" ht="12.7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</sheetData>
  <mergeCells count="38">
    <mergeCell ref="A11:A13"/>
    <mergeCell ref="A20:A22"/>
    <mergeCell ref="I8:L8"/>
    <mergeCell ref="D11:F11"/>
    <mergeCell ref="G11:H11"/>
    <mergeCell ref="B11:B13"/>
    <mergeCell ref="D12:D13"/>
    <mergeCell ref="K12:K13"/>
    <mergeCell ref="L12:L13"/>
    <mergeCell ref="F12:F13"/>
    <mergeCell ref="E12:E13"/>
    <mergeCell ref="I11:L11"/>
    <mergeCell ref="C11:C13"/>
    <mergeCell ref="I12:I13"/>
    <mergeCell ref="J12:J13"/>
    <mergeCell ref="H12:H13"/>
    <mergeCell ref="G12:G13"/>
    <mergeCell ref="H1:L1"/>
    <mergeCell ref="H5:L5"/>
    <mergeCell ref="H6:L6"/>
    <mergeCell ref="H7:L7"/>
    <mergeCell ref="B3:L3"/>
    <mergeCell ref="B4:L4"/>
    <mergeCell ref="I2:L2"/>
    <mergeCell ref="B20:B22"/>
    <mergeCell ref="C20:C22"/>
    <mergeCell ref="D20:F20"/>
    <mergeCell ref="G20:H20"/>
    <mergeCell ref="I20:L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</mergeCells>
  <printOptions/>
  <pageMargins left="0.984251968503937" right="0.3937007874015748" top="0.984251968503937" bottom="0.3937007874015748" header="0" footer="0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11" man="1"/>
    <brk id="3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65"/>
  <sheetViews>
    <sheetView view="pageBreakPreview" zoomScaleNormal="85" zoomScaleSheetLayoutView="100" workbookViewId="0" topLeftCell="A2">
      <selection activeCell="B4" sqref="B4:W4"/>
    </sheetView>
  </sheetViews>
  <sheetFormatPr defaultColWidth="9.00390625" defaultRowHeight="12.75"/>
  <cols>
    <col min="1" max="1" width="5.625" style="3" customWidth="1"/>
    <col min="2" max="2" width="8.125" style="3" hidden="1" customWidth="1"/>
    <col min="3" max="3" width="32.25390625" style="3" customWidth="1"/>
    <col min="4" max="4" width="7.00390625" style="3" customWidth="1"/>
    <col min="5" max="5" width="7.75390625" style="3" customWidth="1"/>
    <col min="6" max="7" width="6.625" style="3" customWidth="1"/>
    <col min="8" max="8" width="7.25390625" style="3" customWidth="1"/>
    <col min="9" max="9" width="5.75390625" style="3" customWidth="1"/>
    <col min="10" max="10" width="6.375" style="3" customWidth="1"/>
    <col min="11" max="11" width="6.75390625" style="3" customWidth="1"/>
    <col min="12" max="12" width="6.00390625" style="3" customWidth="1"/>
    <col min="13" max="15" width="6.375" style="3" customWidth="1"/>
    <col min="16" max="16" width="7.25390625" style="3" customWidth="1"/>
    <col min="17" max="17" width="6.25390625" style="3" customWidth="1"/>
    <col min="18" max="18" width="5.875" style="3" customWidth="1"/>
    <col min="19" max="19" width="5.125" style="3" customWidth="1"/>
    <col min="20" max="20" width="5.625" style="3" customWidth="1"/>
    <col min="21" max="21" width="6.00390625" style="3" customWidth="1"/>
    <col min="22" max="22" width="5.75390625" style="3" customWidth="1"/>
    <col min="23" max="23" width="6.875" style="3" customWidth="1"/>
    <col min="24" max="16384" width="0.875" style="3" customWidth="1"/>
  </cols>
  <sheetData>
    <row r="1" spans="17:23" s="8" customFormat="1" ht="40.5" customHeight="1" hidden="1">
      <c r="Q1" s="559" t="s">
        <v>46</v>
      </c>
      <c r="R1" s="599"/>
      <c r="S1" s="599"/>
      <c r="T1" s="599"/>
      <c r="U1" s="599"/>
      <c r="V1" s="599"/>
      <c r="W1" s="599"/>
    </row>
    <row r="2" spans="19:23" ht="15.75">
      <c r="S2" s="588" t="s">
        <v>132</v>
      </c>
      <c r="T2" s="588"/>
      <c r="U2" s="588"/>
      <c r="V2" s="588"/>
      <c r="W2" s="588"/>
    </row>
    <row r="3" spans="19:23" ht="15.75">
      <c r="S3" s="115"/>
      <c r="T3" s="115"/>
      <c r="U3" s="115"/>
      <c r="V3" s="115"/>
      <c r="W3" s="115"/>
    </row>
    <row r="4" spans="2:23" s="7" customFormat="1" ht="20.25">
      <c r="B4" s="586" t="s">
        <v>187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</row>
    <row r="6" spans="17:23" s="8" customFormat="1" ht="35.25" customHeight="1">
      <c r="Q6" s="297" t="s">
        <v>106</v>
      </c>
      <c r="R6" s="600"/>
      <c r="S6" s="600"/>
      <c r="T6" s="600"/>
      <c r="U6" s="600"/>
      <c r="V6" s="600"/>
      <c r="W6" s="600"/>
    </row>
    <row r="7" spans="17:23" s="8" customFormat="1" ht="18.75">
      <c r="Q7" s="601" t="s">
        <v>128</v>
      </c>
      <c r="R7" s="600"/>
      <c r="S7" s="600"/>
      <c r="T7" s="600"/>
      <c r="U7" s="600"/>
      <c r="V7" s="600"/>
      <c r="W7" s="600"/>
    </row>
    <row r="8" spans="15:23" s="8" customFormat="1" ht="9.75" customHeight="1">
      <c r="O8" s="1"/>
      <c r="Q8" s="602"/>
      <c r="R8" s="600"/>
      <c r="S8" s="600"/>
      <c r="T8" s="600"/>
      <c r="U8" s="600"/>
      <c r="V8" s="600"/>
      <c r="W8" s="600"/>
    </row>
    <row r="9" spans="3:23" s="1" customFormat="1" ht="17.25" customHeight="1">
      <c r="C9" s="215"/>
      <c r="D9" s="215"/>
      <c r="Q9" s="594" t="s">
        <v>186</v>
      </c>
      <c r="R9" s="298"/>
      <c r="S9" s="298"/>
      <c r="T9" s="298"/>
      <c r="U9" s="298"/>
      <c r="V9" s="298"/>
      <c r="W9" s="267"/>
    </row>
    <row r="10" ht="9.75" customHeight="1"/>
    <row r="11" spans="1:23" s="6" customFormat="1" ht="15" customHeight="1">
      <c r="A11" s="342" t="s">
        <v>195</v>
      </c>
      <c r="B11" s="342" t="s">
        <v>47</v>
      </c>
      <c r="C11" s="595" t="s">
        <v>100</v>
      </c>
      <c r="D11" s="596" t="s">
        <v>48</v>
      </c>
      <c r="E11" s="596"/>
      <c r="F11" s="596"/>
      <c r="G11" s="596"/>
      <c r="H11" s="596"/>
      <c r="I11" s="596"/>
      <c r="J11" s="596"/>
      <c r="K11" s="596"/>
      <c r="L11" s="596"/>
      <c r="M11" s="596"/>
      <c r="N11" s="596" t="s">
        <v>49</v>
      </c>
      <c r="O11" s="596"/>
      <c r="P11" s="596"/>
      <c r="Q11" s="596"/>
      <c r="R11" s="596"/>
      <c r="S11" s="596"/>
      <c r="T11" s="596"/>
      <c r="U11" s="596"/>
      <c r="V11" s="596"/>
      <c r="W11" s="598"/>
    </row>
    <row r="12" spans="1:23" s="6" customFormat="1" ht="17.25" customHeight="1">
      <c r="A12" s="318"/>
      <c r="B12" s="318"/>
      <c r="C12" s="595"/>
      <c r="D12" s="576" t="s">
        <v>45</v>
      </c>
      <c r="E12" s="576"/>
      <c r="F12" s="576"/>
      <c r="G12" s="576"/>
      <c r="H12" s="576"/>
      <c r="I12" s="571" t="s">
        <v>17</v>
      </c>
      <c r="J12" s="576"/>
      <c r="K12" s="576"/>
      <c r="L12" s="576"/>
      <c r="M12" s="574"/>
      <c r="N12" s="571" t="s">
        <v>45</v>
      </c>
      <c r="O12" s="576"/>
      <c r="P12" s="576"/>
      <c r="Q12" s="576"/>
      <c r="R12" s="574"/>
      <c r="S12" s="571" t="s">
        <v>17</v>
      </c>
      <c r="T12" s="576"/>
      <c r="U12" s="576"/>
      <c r="V12" s="576"/>
      <c r="W12" s="574"/>
    </row>
    <row r="13" spans="1:23" s="6" customFormat="1" ht="14.25" customHeight="1">
      <c r="A13" s="318"/>
      <c r="B13" s="318"/>
      <c r="C13" s="595"/>
      <c r="D13" s="596" t="s">
        <v>80</v>
      </c>
      <c r="E13" s="596"/>
      <c r="F13" s="596"/>
      <c r="G13" s="596"/>
      <c r="H13" s="596"/>
      <c r="I13" s="597" t="s">
        <v>80</v>
      </c>
      <c r="J13" s="596"/>
      <c r="K13" s="596"/>
      <c r="L13" s="596"/>
      <c r="M13" s="598"/>
      <c r="N13" s="597" t="s">
        <v>80</v>
      </c>
      <c r="O13" s="596"/>
      <c r="P13" s="596"/>
      <c r="Q13" s="596"/>
      <c r="R13" s="598"/>
      <c r="S13" s="597" t="s">
        <v>80</v>
      </c>
      <c r="T13" s="596"/>
      <c r="U13" s="596"/>
      <c r="V13" s="596"/>
      <c r="W13" s="598"/>
    </row>
    <row r="14" spans="1:23" s="6" customFormat="1" ht="14.25" customHeight="1">
      <c r="A14" s="343"/>
      <c r="B14" s="343"/>
      <c r="C14" s="595"/>
      <c r="D14" s="15" t="s">
        <v>7</v>
      </c>
      <c r="E14" s="14" t="s">
        <v>8</v>
      </c>
      <c r="F14" s="14" t="s">
        <v>9</v>
      </c>
      <c r="G14" s="14" t="s">
        <v>10</v>
      </c>
      <c r="H14" s="14" t="s">
        <v>191</v>
      </c>
      <c r="I14" s="14" t="s">
        <v>7</v>
      </c>
      <c r="J14" s="14" t="s">
        <v>8</v>
      </c>
      <c r="K14" s="14" t="s">
        <v>9</v>
      </c>
      <c r="L14" s="14" t="s">
        <v>10</v>
      </c>
      <c r="M14" s="24" t="s">
        <v>191</v>
      </c>
      <c r="N14" s="14" t="s">
        <v>7</v>
      </c>
      <c r="O14" s="14" t="s">
        <v>8</v>
      </c>
      <c r="P14" s="14" t="s">
        <v>9</v>
      </c>
      <c r="Q14" s="14" t="s">
        <v>10</v>
      </c>
      <c r="R14" s="24" t="s">
        <v>191</v>
      </c>
      <c r="S14" s="14" t="s">
        <v>7</v>
      </c>
      <c r="T14" s="14" t="s">
        <v>8</v>
      </c>
      <c r="U14" s="14" t="s">
        <v>9</v>
      </c>
      <c r="V14" s="14" t="s">
        <v>10</v>
      </c>
      <c r="W14" s="24" t="s">
        <v>191</v>
      </c>
    </row>
    <row r="15" spans="1:23" s="6" customFormat="1" ht="14.25" customHeight="1">
      <c r="A15" s="118">
        <v>1</v>
      </c>
      <c r="B15" s="118">
        <v>1</v>
      </c>
      <c r="C15" s="118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17">
        <v>9</v>
      </c>
      <c r="K15" s="17">
        <v>10</v>
      </c>
      <c r="L15" s="17">
        <v>11</v>
      </c>
      <c r="M15" s="17">
        <v>12</v>
      </c>
      <c r="N15" s="17">
        <v>13</v>
      </c>
      <c r="O15" s="17">
        <v>14</v>
      </c>
      <c r="P15" s="17">
        <v>15</v>
      </c>
      <c r="Q15" s="17">
        <v>16</v>
      </c>
      <c r="R15" s="17">
        <v>17</v>
      </c>
      <c r="S15" s="17">
        <v>18</v>
      </c>
      <c r="T15" s="17">
        <v>19</v>
      </c>
      <c r="U15" s="17">
        <v>20</v>
      </c>
      <c r="V15" s="17">
        <v>21</v>
      </c>
      <c r="W15" s="17">
        <v>22</v>
      </c>
    </row>
    <row r="16" spans="1:23" s="6" customFormat="1" ht="17.25" customHeight="1">
      <c r="A16" s="55"/>
      <c r="B16" s="55"/>
      <c r="C16" s="24" t="s">
        <v>53</v>
      </c>
      <c r="D16" s="117">
        <f>SUM(D17:D41)</f>
        <v>0.24486</v>
      </c>
      <c r="E16" s="117">
        <f aca="true" t="shared" si="0" ref="E16:L16">SUM(E17:E41)</f>
        <v>1.23592</v>
      </c>
      <c r="F16" s="117">
        <f t="shared" si="0"/>
        <v>3.4219299999999997</v>
      </c>
      <c r="G16" s="117">
        <f t="shared" si="0"/>
        <v>0.86276</v>
      </c>
      <c r="H16" s="117">
        <f t="shared" si="0"/>
        <v>5.76547</v>
      </c>
      <c r="I16" s="117">
        <f>SUM(I17:I41)</f>
        <v>0.8234999999999999</v>
      </c>
      <c r="J16" s="117">
        <f>SUM(J17:J41)</f>
        <v>2.2438000000000002</v>
      </c>
      <c r="K16" s="112">
        <f t="shared" si="0"/>
        <v>0</v>
      </c>
      <c r="L16" s="112">
        <f t="shared" si="0"/>
        <v>0</v>
      </c>
      <c r="M16" s="117">
        <f>SUM(M17:M41)</f>
        <v>3.0673000000000004</v>
      </c>
      <c r="N16" s="17"/>
      <c r="O16" s="55"/>
      <c r="P16" s="55"/>
      <c r="Q16" s="55"/>
      <c r="R16" s="55"/>
      <c r="S16" s="55"/>
      <c r="T16" s="55"/>
      <c r="U16" s="55"/>
      <c r="V16" s="55"/>
      <c r="W16" s="56"/>
    </row>
    <row r="17" spans="1:23" s="6" customFormat="1" ht="27.75" customHeight="1">
      <c r="A17" s="99" t="s">
        <v>20</v>
      </c>
      <c r="B17" s="99" t="s">
        <v>111</v>
      </c>
      <c r="C17" s="13" t="s">
        <v>149</v>
      </c>
      <c r="D17" s="16"/>
      <c r="E17" s="18">
        <f>2*250*0.89/1000</f>
        <v>0.445</v>
      </c>
      <c r="F17" s="18"/>
      <c r="G17" s="101"/>
      <c r="H17" s="255">
        <f aca="true" t="shared" si="1" ref="H17:H27">D17+E17+F17+G17</f>
        <v>0.445</v>
      </c>
      <c r="I17" s="18"/>
      <c r="J17" s="16"/>
      <c r="K17" s="16"/>
      <c r="L17" s="16"/>
      <c r="M17" s="24">
        <f aca="true" t="shared" si="2" ref="M17:M27">I17+J17+K17+L17</f>
        <v>0</v>
      </c>
      <c r="N17" s="16"/>
      <c r="O17" s="17"/>
      <c r="P17" s="16"/>
      <c r="Q17" s="16"/>
      <c r="R17" s="17"/>
      <c r="S17" s="17"/>
      <c r="T17" s="16"/>
      <c r="U17" s="16"/>
      <c r="V17" s="16"/>
      <c r="W17" s="17"/>
    </row>
    <row r="18" spans="1:23" s="6" customFormat="1" ht="28.5" customHeight="1">
      <c r="A18" s="99" t="s">
        <v>23</v>
      </c>
      <c r="B18" s="99" t="s">
        <v>112</v>
      </c>
      <c r="C18" s="13" t="s">
        <v>150</v>
      </c>
      <c r="D18" s="16"/>
      <c r="E18" s="18">
        <f>2*250*0.89/1000</f>
        <v>0.445</v>
      </c>
      <c r="F18" s="18"/>
      <c r="G18" s="101"/>
      <c r="H18" s="255">
        <f t="shared" si="1"/>
        <v>0.445</v>
      </c>
      <c r="I18" s="17"/>
      <c r="J18" s="16"/>
      <c r="K18" s="17"/>
      <c r="L18" s="16"/>
      <c r="M18" s="24">
        <f t="shared" si="2"/>
        <v>0</v>
      </c>
      <c r="N18" s="16"/>
      <c r="O18" s="16"/>
      <c r="P18" s="19"/>
      <c r="Q18" s="16"/>
      <c r="R18" s="17"/>
      <c r="S18" s="17"/>
      <c r="T18" s="16"/>
      <c r="U18" s="16"/>
      <c r="V18" s="16"/>
      <c r="W18" s="17"/>
    </row>
    <row r="19" spans="1:23" s="6" customFormat="1" ht="30" customHeight="1">
      <c r="A19" s="99" t="s">
        <v>109</v>
      </c>
      <c r="B19" s="99" t="s">
        <v>141</v>
      </c>
      <c r="C19" s="13" t="s">
        <v>151</v>
      </c>
      <c r="D19" s="16"/>
      <c r="E19" s="17"/>
      <c r="F19" s="18">
        <f>1*250*0.89/1000</f>
        <v>0.2225</v>
      </c>
      <c r="G19" s="101"/>
      <c r="H19" s="255">
        <f t="shared" si="1"/>
        <v>0.2225</v>
      </c>
      <c r="I19" s="17"/>
      <c r="J19" s="16"/>
      <c r="K19" s="17"/>
      <c r="L19" s="16"/>
      <c r="M19" s="24">
        <f t="shared" si="2"/>
        <v>0</v>
      </c>
      <c r="N19" s="16"/>
      <c r="O19" s="16"/>
      <c r="P19" s="19"/>
      <c r="Q19" s="16"/>
      <c r="R19" s="17"/>
      <c r="S19" s="17"/>
      <c r="T19" s="16"/>
      <c r="U19" s="16"/>
      <c r="V19" s="16"/>
      <c r="W19" s="17"/>
    </row>
    <row r="20" spans="1:23" s="6" customFormat="1" ht="30" customHeight="1">
      <c r="A20" s="98" t="s">
        <v>113</v>
      </c>
      <c r="B20" s="98" t="s">
        <v>117</v>
      </c>
      <c r="C20" s="13" t="s">
        <v>152</v>
      </c>
      <c r="D20" s="16"/>
      <c r="E20" s="17"/>
      <c r="F20" s="18">
        <f>2*630*0.89/1000</f>
        <v>1.1214000000000002</v>
      </c>
      <c r="G20" s="16"/>
      <c r="H20" s="255">
        <f t="shared" si="1"/>
        <v>1.1214000000000002</v>
      </c>
      <c r="I20" s="17"/>
      <c r="J20" s="16"/>
      <c r="K20" s="17"/>
      <c r="L20" s="16"/>
      <c r="M20" s="24">
        <f t="shared" si="2"/>
        <v>0</v>
      </c>
      <c r="N20" s="16"/>
      <c r="O20" s="16"/>
      <c r="P20" s="19"/>
      <c r="Q20" s="16"/>
      <c r="R20" s="17"/>
      <c r="S20" s="17"/>
      <c r="T20" s="16"/>
      <c r="U20" s="16"/>
      <c r="V20" s="16"/>
      <c r="W20" s="17"/>
    </row>
    <row r="21" spans="1:23" s="6" customFormat="1" ht="24" customHeight="1">
      <c r="A21" s="206" t="s">
        <v>115</v>
      </c>
      <c r="B21" s="206" t="s">
        <v>142</v>
      </c>
      <c r="C21" s="214" t="s">
        <v>188</v>
      </c>
      <c r="D21" s="207"/>
      <c r="E21" s="207"/>
      <c r="F21" s="208">
        <f>1*63*0.89/1000</f>
        <v>0.05607</v>
      </c>
      <c r="G21" s="207"/>
      <c r="H21" s="256">
        <f t="shared" si="1"/>
        <v>0.05607</v>
      </c>
      <c r="I21" s="178"/>
      <c r="J21" s="207"/>
      <c r="K21" s="178"/>
      <c r="L21" s="207"/>
      <c r="M21" s="257">
        <f t="shared" si="2"/>
        <v>0</v>
      </c>
      <c r="N21" s="207"/>
      <c r="O21" s="207"/>
      <c r="P21" s="209"/>
      <c r="Q21" s="207"/>
      <c r="R21" s="178"/>
      <c r="S21" s="178"/>
      <c r="T21" s="207"/>
      <c r="U21" s="207"/>
      <c r="V21" s="207"/>
      <c r="W21" s="178"/>
    </row>
    <row r="22" spans="1:23" s="6" customFormat="1" ht="21.75" customHeight="1">
      <c r="A22" s="206" t="s">
        <v>117</v>
      </c>
      <c r="B22" s="206" t="s">
        <v>143</v>
      </c>
      <c r="C22" s="123" t="s">
        <v>144</v>
      </c>
      <c r="D22" s="207"/>
      <c r="E22" s="178">
        <f>2*100*0.89/1000</f>
        <v>0.178</v>
      </c>
      <c r="F22" s="208"/>
      <c r="G22" s="207"/>
      <c r="H22" s="256">
        <f t="shared" si="1"/>
        <v>0.178</v>
      </c>
      <c r="I22" s="178"/>
      <c r="J22" s="207"/>
      <c r="K22" s="178"/>
      <c r="L22" s="207"/>
      <c r="M22" s="257">
        <f t="shared" si="2"/>
        <v>0</v>
      </c>
      <c r="N22" s="207"/>
      <c r="O22" s="207"/>
      <c r="P22" s="209"/>
      <c r="Q22" s="207"/>
      <c r="R22" s="178"/>
      <c r="S22" s="178"/>
      <c r="T22" s="207"/>
      <c r="U22" s="207"/>
      <c r="V22" s="207"/>
      <c r="W22" s="178"/>
    </row>
    <row r="23" spans="1:23" s="6" customFormat="1" ht="18.75" customHeight="1">
      <c r="A23" s="206" t="s">
        <v>167</v>
      </c>
      <c r="B23" s="206" t="s">
        <v>145</v>
      </c>
      <c r="C23" s="123" t="s">
        <v>154</v>
      </c>
      <c r="D23" s="207"/>
      <c r="E23" s="178">
        <f>1*100*0.89/1000</f>
        <v>0.089</v>
      </c>
      <c r="F23" s="208"/>
      <c r="G23" s="207"/>
      <c r="H23" s="256">
        <f t="shared" si="1"/>
        <v>0.089</v>
      </c>
      <c r="I23" s="178"/>
      <c r="J23" s="207"/>
      <c r="K23" s="178"/>
      <c r="L23" s="207"/>
      <c r="M23" s="257">
        <f t="shared" si="2"/>
        <v>0</v>
      </c>
      <c r="N23" s="207"/>
      <c r="O23" s="207"/>
      <c r="P23" s="209"/>
      <c r="Q23" s="207"/>
      <c r="R23" s="178"/>
      <c r="S23" s="178"/>
      <c r="T23" s="207"/>
      <c r="U23" s="207"/>
      <c r="V23" s="207"/>
      <c r="W23" s="178"/>
    </row>
    <row r="24" spans="1:23" s="6" customFormat="1" ht="18.75" customHeight="1">
      <c r="A24" s="206" t="s">
        <v>219</v>
      </c>
      <c r="B24" s="206" t="s">
        <v>145</v>
      </c>
      <c r="C24" s="123" t="s">
        <v>216</v>
      </c>
      <c r="D24" s="207"/>
      <c r="E24" s="178"/>
      <c r="F24" s="208"/>
      <c r="G24" s="207"/>
      <c r="H24" s="258">
        <f>D24+E24+F24+G24</f>
        <v>0</v>
      </c>
      <c r="I24" s="178"/>
      <c r="J24" s="178">
        <f>160*0.89/1000</f>
        <v>0.1424</v>
      </c>
      <c r="K24" s="178"/>
      <c r="L24" s="207"/>
      <c r="M24" s="257">
        <f>I24+J24+K24+L24</f>
        <v>0.1424</v>
      </c>
      <c r="N24" s="207"/>
      <c r="O24" s="207"/>
      <c r="P24" s="209"/>
      <c r="Q24" s="207"/>
      <c r="R24" s="178"/>
      <c r="S24" s="178"/>
      <c r="T24" s="207"/>
      <c r="U24" s="207"/>
      <c r="V24" s="207"/>
      <c r="W24" s="178"/>
    </row>
    <row r="25" spans="1:23" s="6" customFormat="1" ht="21.75" customHeight="1">
      <c r="A25" s="206" t="s">
        <v>168</v>
      </c>
      <c r="B25" s="206" t="s">
        <v>146</v>
      </c>
      <c r="C25" s="204" t="s">
        <v>155</v>
      </c>
      <c r="D25" s="252">
        <f>1*250*0.89/1000</f>
        <v>0.2225</v>
      </c>
      <c r="E25" s="207"/>
      <c r="F25" s="208"/>
      <c r="G25" s="207"/>
      <c r="H25" s="256">
        <f t="shared" si="1"/>
        <v>0.2225</v>
      </c>
      <c r="I25" s="252">
        <f>250*0.89/1000</f>
        <v>0.2225</v>
      </c>
      <c r="J25" s="178"/>
      <c r="K25" s="178"/>
      <c r="L25" s="207"/>
      <c r="M25" s="257">
        <f t="shared" si="2"/>
        <v>0.2225</v>
      </c>
      <c r="N25" s="207"/>
      <c r="O25" s="207"/>
      <c r="P25" s="209"/>
      <c r="Q25" s="207"/>
      <c r="R25" s="178"/>
      <c r="S25" s="178"/>
      <c r="T25" s="207"/>
      <c r="U25" s="207"/>
      <c r="V25" s="207"/>
      <c r="W25" s="178"/>
    </row>
    <row r="26" spans="1:23" s="6" customFormat="1" ht="21" customHeight="1">
      <c r="A26" s="206" t="s">
        <v>221</v>
      </c>
      <c r="B26" s="206" t="s">
        <v>147</v>
      </c>
      <c r="C26" s="204" t="s">
        <v>220</v>
      </c>
      <c r="D26" s="207"/>
      <c r="E26" s="207"/>
      <c r="F26" s="209">
        <v>0</v>
      </c>
      <c r="G26" s="207"/>
      <c r="H26" s="258">
        <f>D26+E26+F26+G26</f>
        <v>0</v>
      </c>
      <c r="I26" s="178"/>
      <c r="J26" s="178">
        <f>(2*630*0.89)/1000</f>
        <v>1.1214000000000002</v>
      </c>
      <c r="K26" s="178"/>
      <c r="L26" s="207"/>
      <c r="M26" s="257">
        <f>I26+J26+K26+L26</f>
        <v>1.1214000000000002</v>
      </c>
      <c r="N26" s="207"/>
      <c r="O26" s="207"/>
      <c r="P26" s="209"/>
      <c r="Q26" s="207"/>
      <c r="R26" s="178"/>
      <c r="S26" s="178"/>
      <c r="T26" s="207"/>
      <c r="U26" s="207"/>
      <c r="V26" s="207"/>
      <c r="W26" s="178"/>
    </row>
    <row r="27" spans="1:23" s="6" customFormat="1" ht="31.5" customHeight="1">
      <c r="A27" s="206" t="s">
        <v>169</v>
      </c>
      <c r="B27" s="206" t="s">
        <v>147</v>
      </c>
      <c r="C27" s="204" t="s">
        <v>148</v>
      </c>
      <c r="D27" s="207"/>
      <c r="E27" s="207"/>
      <c r="F27" s="208">
        <f>2*1000*0.89/1000</f>
        <v>1.78</v>
      </c>
      <c r="G27" s="207"/>
      <c r="H27" s="256">
        <f t="shared" si="1"/>
        <v>1.78</v>
      </c>
      <c r="I27" s="178"/>
      <c r="J27" s="207"/>
      <c r="K27" s="178"/>
      <c r="L27" s="207"/>
      <c r="M27" s="257">
        <f t="shared" si="2"/>
        <v>0</v>
      </c>
      <c r="N27" s="207"/>
      <c r="O27" s="207"/>
      <c r="P27" s="209"/>
      <c r="Q27" s="207"/>
      <c r="R27" s="178"/>
      <c r="S27" s="178"/>
      <c r="T27" s="207"/>
      <c r="U27" s="207"/>
      <c r="V27" s="207"/>
      <c r="W27" s="178"/>
    </row>
    <row r="28" spans="1:23" s="6" customFormat="1" ht="15" customHeight="1">
      <c r="A28" s="170"/>
      <c r="B28" s="170"/>
      <c r="C28" s="176" t="s">
        <v>123</v>
      </c>
      <c r="D28" s="175"/>
      <c r="E28" s="175"/>
      <c r="F28" s="175"/>
      <c r="G28" s="175"/>
      <c r="H28" s="172"/>
      <c r="I28" s="171"/>
      <c r="J28" s="175"/>
      <c r="K28" s="175"/>
      <c r="L28" s="175"/>
      <c r="M28" s="172"/>
      <c r="N28" s="175"/>
      <c r="O28" s="175"/>
      <c r="P28" s="171"/>
      <c r="Q28" s="175"/>
      <c r="R28" s="171"/>
      <c r="S28" s="171"/>
      <c r="T28" s="175"/>
      <c r="U28" s="175"/>
      <c r="V28" s="175"/>
      <c r="W28" s="171"/>
    </row>
    <row r="29" spans="1:23" s="6" customFormat="1" ht="18" customHeight="1">
      <c r="A29" s="99" t="s">
        <v>170</v>
      </c>
      <c r="B29" s="99" t="s">
        <v>189</v>
      </c>
      <c r="C29" s="13" t="s">
        <v>194</v>
      </c>
      <c r="D29" s="16"/>
      <c r="E29" s="17"/>
      <c r="F29" s="17"/>
      <c r="G29" s="16"/>
      <c r="H29" s="259">
        <f>D29+E29+F29+G29</f>
        <v>0</v>
      </c>
      <c r="I29" s="17"/>
      <c r="J29" s="16"/>
      <c r="K29" s="17"/>
      <c r="L29" s="16"/>
      <c r="M29" s="24">
        <f>I29+J29+K29+L29</f>
        <v>0</v>
      </c>
      <c r="N29" s="16"/>
      <c r="O29" s="16"/>
      <c r="P29" s="17"/>
      <c r="Q29" s="16"/>
      <c r="R29" s="17"/>
      <c r="S29" s="17"/>
      <c r="T29" s="16"/>
      <c r="U29" s="16"/>
      <c r="V29" s="16"/>
      <c r="W29" s="17"/>
    </row>
    <row r="30" spans="1:23" s="6" customFormat="1" ht="33" customHeight="1">
      <c r="A30" s="205" t="s">
        <v>171</v>
      </c>
      <c r="B30" s="205" t="s">
        <v>162</v>
      </c>
      <c r="C30" s="121" t="s">
        <v>176</v>
      </c>
      <c r="D30" s="212"/>
      <c r="E30" s="178"/>
      <c r="F30" s="178"/>
      <c r="G30" s="207"/>
      <c r="H30" s="258">
        <f>D30+E30+F30+G30</f>
        <v>0</v>
      </c>
      <c r="I30" s="253">
        <f>(150)/1000</f>
        <v>0.15</v>
      </c>
      <c r="J30" s="253">
        <f>(20)/1000</f>
        <v>0.02</v>
      </c>
      <c r="K30" s="178"/>
      <c r="L30" s="207"/>
      <c r="M30" s="256">
        <f>I30+J30+K30+L30</f>
        <v>0.16999999999999998</v>
      </c>
      <c r="N30" s="207"/>
      <c r="O30" s="207"/>
      <c r="P30" s="178"/>
      <c r="Q30" s="207"/>
      <c r="R30" s="178"/>
      <c r="S30" s="178"/>
      <c r="T30" s="207"/>
      <c r="U30" s="207"/>
      <c r="V30" s="207"/>
      <c r="W30" s="178"/>
    </row>
    <row r="31" spans="1:23" s="6" customFormat="1" ht="18.75" customHeight="1">
      <c r="A31" s="173"/>
      <c r="B31" s="173">
        <v>4</v>
      </c>
      <c r="C31" s="174" t="s">
        <v>114</v>
      </c>
      <c r="D31" s="175"/>
      <c r="E31" s="175"/>
      <c r="F31" s="171"/>
      <c r="G31" s="175"/>
      <c r="H31" s="172"/>
      <c r="I31" s="171"/>
      <c r="J31" s="175"/>
      <c r="K31" s="171"/>
      <c r="L31" s="175"/>
      <c r="M31" s="172"/>
      <c r="N31" s="175"/>
      <c r="O31" s="175"/>
      <c r="P31" s="171"/>
      <c r="Q31" s="175"/>
      <c r="R31" s="171"/>
      <c r="S31" s="171"/>
      <c r="T31" s="175"/>
      <c r="U31" s="175"/>
      <c r="V31" s="175"/>
      <c r="W31" s="171"/>
    </row>
    <row r="32" spans="1:23" s="6" customFormat="1" ht="34.5" customHeight="1">
      <c r="A32" s="205" t="s">
        <v>172</v>
      </c>
      <c r="B32" s="205" t="s">
        <v>163</v>
      </c>
      <c r="C32" s="123" t="s">
        <v>190</v>
      </c>
      <c r="D32" s="207"/>
      <c r="E32" s="207"/>
      <c r="F32" s="208"/>
      <c r="G32" s="207"/>
      <c r="H32" s="258">
        <f>D32+E32+F32+G32</f>
        <v>0</v>
      </c>
      <c r="I32" s="178"/>
      <c r="J32" s="207"/>
      <c r="K32" s="178"/>
      <c r="L32" s="207"/>
      <c r="M32" s="257">
        <f>I32+J32+K32+L32</f>
        <v>0</v>
      </c>
      <c r="N32" s="207"/>
      <c r="O32" s="207"/>
      <c r="P32" s="209"/>
      <c r="Q32" s="207"/>
      <c r="R32" s="178"/>
      <c r="S32" s="178"/>
      <c r="T32" s="207"/>
      <c r="U32" s="207"/>
      <c r="V32" s="207"/>
      <c r="W32" s="178"/>
    </row>
    <row r="33" spans="1:23" s="6" customFormat="1" ht="12.75" customHeight="1">
      <c r="A33" s="342" t="s">
        <v>47</v>
      </c>
      <c r="B33" s="342" t="s">
        <v>47</v>
      </c>
      <c r="C33" s="595" t="s">
        <v>100</v>
      </c>
      <c r="D33" s="596" t="s">
        <v>48</v>
      </c>
      <c r="E33" s="596"/>
      <c r="F33" s="596"/>
      <c r="G33" s="596"/>
      <c r="H33" s="596"/>
      <c r="I33" s="596"/>
      <c r="J33" s="596"/>
      <c r="K33" s="596"/>
      <c r="L33" s="596"/>
      <c r="M33" s="596"/>
      <c r="N33" s="596" t="s">
        <v>49</v>
      </c>
      <c r="O33" s="596"/>
      <c r="P33" s="596"/>
      <c r="Q33" s="596"/>
      <c r="R33" s="596"/>
      <c r="S33" s="596"/>
      <c r="T33" s="596"/>
      <c r="U33" s="596"/>
      <c r="V33" s="596"/>
      <c r="W33" s="598"/>
    </row>
    <row r="34" spans="1:23" s="6" customFormat="1" ht="17.25" customHeight="1">
      <c r="A34" s="318"/>
      <c r="B34" s="318"/>
      <c r="C34" s="595"/>
      <c r="D34" s="576" t="s">
        <v>45</v>
      </c>
      <c r="E34" s="576"/>
      <c r="F34" s="576"/>
      <c r="G34" s="576"/>
      <c r="H34" s="576"/>
      <c r="I34" s="571" t="s">
        <v>17</v>
      </c>
      <c r="J34" s="576"/>
      <c r="K34" s="576"/>
      <c r="L34" s="576"/>
      <c r="M34" s="574"/>
      <c r="N34" s="571" t="s">
        <v>45</v>
      </c>
      <c r="O34" s="576"/>
      <c r="P34" s="576"/>
      <c r="Q34" s="576"/>
      <c r="R34" s="574"/>
      <c r="S34" s="571" t="s">
        <v>17</v>
      </c>
      <c r="T34" s="576"/>
      <c r="U34" s="576"/>
      <c r="V34" s="576"/>
      <c r="W34" s="574"/>
    </row>
    <row r="35" spans="1:23" s="6" customFormat="1" ht="15.75" customHeight="1">
      <c r="A35" s="318"/>
      <c r="B35" s="318"/>
      <c r="C35" s="595"/>
      <c r="D35" s="596" t="s">
        <v>80</v>
      </c>
      <c r="E35" s="596"/>
      <c r="F35" s="596"/>
      <c r="G35" s="596"/>
      <c r="H35" s="596"/>
      <c r="I35" s="597" t="s">
        <v>80</v>
      </c>
      <c r="J35" s="596"/>
      <c r="K35" s="596"/>
      <c r="L35" s="596"/>
      <c r="M35" s="598"/>
      <c r="N35" s="597" t="s">
        <v>80</v>
      </c>
      <c r="O35" s="596"/>
      <c r="P35" s="596"/>
      <c r="Q35" s="596"/>
      <c r="R35" s="598"/>
      <c r="S35" s="597" t="s">
        <v>80</v>
      </c>
      <c r="T35" s="596"/>
      <c r="U35" s="596"/>
      <c r="V35" s="596"/>
      <c r="W35" s="598"/>
    </row>
    <row r="36" spans="1:23" s="6" customFormat="1" ht="14.25" customHeight="1">
      <c r="A36" s="343"/>
      <c r="B36" s="343"/>
      <c r="C36" s="595"/>
      <c r="D36" s="15" t="s">
        <v>7</v>
      </c>
      <c r="E36" s="14" t="s">
        <v>8</v>
      </c>
      <c r="F36" s="14" t="s">
        <v>9</v>
      </c>
      <c r="G36" s="14" t="s">
        <v>10</v>
      </c>
      <c r="H36" s="14" t="s">
        <v>191</v>
      </c>
      <c r="I36" s="14" t="s">
        <v>7</v>
      </c>
      <c r="J36" s="14" t="s">
        <v>8</v>
      </c>
      <c r="K36" s="14" t="s">
        <v>9</v>
      </c>
      <c r="L36" s="14" t="s">
        <v>10</v>
      </c>
      <c r="M36" s="24" t="s">
        <v>191</v>
      </c>
      <c r="N36" s="14" t="s">
        <v>7</v>
      </c>
      <c r="O36" s="14" t="s">
        <v>8</v>
      </c>
      <c r="P36" s="14" t="s">
        <v>9</v>
      </c>
      <c r="Q36" s="14" t="s">
        <v>10</v>
      </c>
      <c r="R36" s="24" t="s">
        <v>191</v>
      </c>
      <c r="S36" s="14" t="s">
        <v>7</v>
      </c>
      <c r="T36" s="14" t="s">
        <v>8</v>
      </c>
      <c r="U36" s="14" t="s">
        <v>9</v>
      </c>
      <c r="V36" s="14" t="s">
        <v>10</v>
      </c>
      <c r="W36" s="24" t="s">
        <v>191</v>
      </c>
    </row>
    <row r="37" spans="1:23" s="6" customFormat="1" ht="15.75" customHeight="1">
      <c r="A37" s="170"/>
      <c r="B37" s="170"/>
      <c r="C37" s="203" t="s">
        <v>116</v>
      </c>
      <c r="D37" s="175"/>
      <c r="E37" s="175"/>
      <c r="F37" s="171"/>
      <c r="G37" s="175"/>
      <c r="H37" s="171"/>
      <c r="I37" s="171"/>
      <c r="J37" s="175"/>
      <c r="K37" s="171"/>
      <c r="L37" s="175"/>
      <c r="M37" s="171"/>
      <c r="N37" s="175"/>
      <c r="O37" s="175"/>
      <c r="P37" s="171"/>
      <c r="Q37" s="175"/>
      <c r="R37" s="171"/>
      <c r="S37" s="171"/>
      <c r="T37" s="175"/>
      <c r="U37" s="175"/>
      <c r="V37" s="175"/>
      <c r="W37" s="171"/>
    </row>
    <row r="38" spans="1:23" s="6" customFormat="1" ht="45.75" customHeight="1">
      <c r="A38" s="196" t="s">
        <v>173</v>
      </c>
      <c r="B38" s="196" t="s">
        <v>115</v>
      </c>
      <c r="C38" s="13" t="s">
        <v>192</v>
      </c>
      <c r="D38" s="271">
        <f>3/1000</f>
        <v>0.003</v>
      </c>
      <c r="E38" s="272">
        <f>5/1000</f>
        <v>0.005</v>
      </c>
      <c r="F38" s="273">
        <f>5/1000</f>
        <v>0.005</v>
      </c>
      <c r="G38" s="272">
        <f>2/1000</f>
        <v>0.002</v>
      </c>
      <c r="H38" s="274">
        <f>D38+E38+F38+G38</f>
        <v>0.015000000000000001</v>
      </c>
      <c r="I38" s="254">
        <f>(15+15+14)/1000</f>
        <v>0.044</v>
      </c>
      <c r="J38" s="254">
        <f>(15+15+15+15+15+15+5+15+5+15+8+10)/1000</f>
        <v>0.148</v>
      </c>
      <c r="K38" s="17"/>
      <c r="L38" s="24"/>
      <c r="M38" s="24">
        <f>I38+J38+K38+L38</f>
        <v>0.192</v>
      </c>
      <c r="N38" s="16"/>
      <c r="O38" s="16"/>
      <c r="P38" s="19"/>
      <c r="Q38" s="17"/>
      <c r="R38" s="17">
        <f>N38+O38+P38+Q38</f>
        <v>0</v>
      </c>
      <c r="S38" s="17"/>
      <c r="T38" s="16"/>
      <c r="U38" s="16"/>
      <c r="V38" s="16"/>
      <c r="W38" s="17">
        <f>S38+T38+U38+V38</f>
        <v>0</v>
      </c>
    </row>
    <row r="39" spans="1:23" s="6" customFormat="1" ht="47.25" customHeight="1">
      <c r="A39" s="206" t="s">
        <v>174</v>
      </c>
      <c r="B39" s="206" t="s">
        <v>157</v>
      </c>
      <c r="C39" s="121" t="s">
        <v>158</v>
      </c>
      <c r="D39" s="253">
        <f>(176*11%)/1000</f>
        <v>0.01936</v>
      </c>
      <c r="E39" s="253">
        <f>(176*42%)/1000</f>
        <v>0.07392</v>
      </c>
      <c r="F39" s="253">
        <f>(176*21%)/1000</f>
        <v>0.03696</v>
      </c>
      <c r="G39" s="253">
        <f>(176*26%)/1000</f>
        <v>0.04576</v>
      </c>
      <c r="H39" s="256">
        <f>D39+E39+F39+G39</f>
        <v>0.176</v>
      </c>
      <c r="I39" s="253">
        <f>(3+60+40+15+50+109+40+50+40)/1000</f>
        <v>0.407</v>
      </c>
      <c r="J39" s="253">
        <f>(250+100+50+50+18+20+5+20+100+15+100+84)/1000</f>
        <v>0.812</v>
      </c>
      <c r="K39" s="178"/>
      <c r="L39" s="207"/>
      <c r="M39" s="257">
        <f>I39+J39+K39+L39</f>
        <v>1.219</v>
      </c>
      <c r="N39" s="207"/>
      <c r="O39" s="207"/>
      <c r="P39" s="178"/>
      <c r="Q39" s="178"/>
      <c r="R39" s="178">
        <f>N39+O39+P39+Q39</f>
        <v>0</v>
      </c>
      <c r="S39" s="178"/>
      <c r="T39" s="207"/>
      <c r="U39" s="207"/>
      <c r="V39" s="207"/>
      <c r="W39" s="178">
        <f>S39+T39+U39+V39</f>
        <v>0</v>
      </c>
    </row>
    <row r="40" spans="1:30" ht="13.5" customHeight="1">
      <c r="A40" s="170"/>
      <c r="B40" s="170"/>
      <c r="C40" s="203" t="s">
        <v>118</v>
      </c>
      <c r="D40" s="260"/>
      <c r="E40" s="260"/>
      <c r="F40" s="260"/>
      <c r="G40" s="260"/>
      <c r="H40" s="261"/>
      <c r="I40" s="260"/>
      <c r="J40" s="260"/>
      <c r="K40" s="260"/>
      <c r="L40" s="260"/>
      <c r="M40" s="262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100"/>
      <c r="Y40" s="100"/>
      <c r="Z40" s="100"/>
      <c r="AA40" s="100"/>
      <c r="AB40" s="100"/>
      <c r="AC40" s="100"/>
      <c r="AD40" s="100"/>
    </row>
    <row r="41" spans="1:30" ht="31.5">
      <c r="A41" s="205" t="s">
        <v>142</v>
      </c>
      <c r="B41" s="205" t="s">
        <v>159</v>
      </c>
      <c r="C41" s="123" t="s">
        <v>160</v>
      </c>
      <c r="D41" s="200"/>
      <c r="E41" s="210"/>
      <c r="F41" s="208">
        <f>H41-G41</f>
        <v>0.19999999999999996</v>
      </c>
      <c r="G41" s="178">
        <f>(15+800)/1000</f>
        <v>0.815</v>
      </c>
      <c r="H41" s="256">
        <f>(15+200+800)/1000</f>
        <v>1.015</v>
      </c>
      <c r="I41" s="216"/>
      <c r="J41" s="211"/>
      <c r="K41" s="211"/>
      <c r="L41" s="211"/>
      <c r="M41" s="258">
        <f>I41+J41+K41+L41</f>
        <v>0</v>
      </c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100"/>
      <c r="Y41" s="100"/>
      <c r="Z41" s="100"/>
      <c r="AA41" s="100"/>
      <c r="AB41" s="100"/>
      <c r="AC41" s="100"/>
      <c r="AD41" s="100"/>
    </row>
    <row r="42" spans="24:30" ht="11.25">
      <c r="X42" s="100"/>
      <c r="Y42" s="100"/>
      <c r="Z42" s="100"/>
      <c r="AA42" s="100"/>
      <c r="AB42" s="100"/>
      <c r="AC42" s="100"/>
      <c r="AD42" s="100"/>
    </row>
    <row r="43" spans="24:30" ht="11.25">
      <c r="X43" s="100"/>
      <c r="Y43" s="100"/>
      <c r="Z43" s="100"/>
      <c r="AA43" s="100"/>
      <c r="AB43" s="100"/>
      <c r="AC43" s="100"/>
      <c r="AD43" s="100"/>
    </row>
    <row r="44" spans="1:30" ht="15.75">
      <c r="A44" s="64" t="s">
        <v>25</v>
      </c>
      <c r="B44" s="2" t="s">
        <v>240</v>
      </c>
      <c r="C44" s="2" t="s">
        <v>241</v>
      </c>
      <c r="D44" s="284"/>
      <c r="E44" s="285"/>
      <c r="F44" s="286"/>
      <c r="G44" s="285"/>
      <c r="X44" s="100"/>
      <c r="Y44" s="100"/>
      <c r="Z44" s="100"/>
      <c r="AA44" s="100"/>
      <c r="AB44" s="100"/>
      <c r="AC44" s="100"/>
      <c r="AD44" s="100"/>
    </row>
    <row r="45" spans="24:30" ht="11.25">
      <c r="X45" s="100"/>
      <c r="Y45" s="100"/>
      <c r="Z45" s="100"/>
      <c r="AA45" s="100"/>
      <c r="AB45" s="100"/>
      <c r="AC45" s="100"/>
      <c r="AD45" s="100"/>
    </row>
    <row r="46" spans="24:30" ht="11.25">
      <c r="X46" s="100"/>
      <c r="Y46" s="100"/>
      <c r="Z46" s="100"/>
      <c r="AA46" s="100"/>
      <c r="AB46" s="100"/>
      <c r="AC46" s="100"/>
      <c r="AD46" s="100"/>
    </row>
    <row r="47" spans="24:30" ht="11.25">
      <c r="X47" s="100"/>
      <c r="Y47" s="100"/>
      <c r="Z47" s="100"/>
      <c r="AA47" s="100"/>
      <c r="AB47" s="100"/>
      <c r="AC47" s="100"/>
      <c r="AD47" s="100"/>
    </row>
    <row r="48" spans="24:30" ht="11.25">
      <c r="X48" s="100"/>
      <c r="Y48" s="100"/>
      <c r="Z48" s="100"/>
      <c r="AA48" s="100"/>
      <c r="AB48" s="100"/>
      <c r="AC48" s="100"/>
      <c r="AD48" s="100"/>
    </row>
    <row r="49" spans="24:30" ht="11.25">
      <c r="X49" s="100"/>
      <c r="Y49" s="100"/>
      <c r="Z49" s="100"/>
      <c r="AA49" s="100"/>
      <c r="AB49" s="100"/>
      <c r="AC49" s="100"/>
      <c r="AD49" s="100"/>
    </row>
    <row r="50" spans="24:30" ht="11.25">
      <c r="X50" s="100"/>
      <c r="Y50" s="100"/>
      <c r="Z50" s="100"/>
      <c r="AA50" s="100"/>
      <c r="AB50" s="100"/>
      <c r="AC50" s="100"/>
      <c r="AD50" s="100"/>
    </row>
    <row r="51" spans="24:30" ht="11.25">
      <c r="X51" s="100"/>
      <c r="Y51" s="100"/>
      <c r="Z51" s="100"/>
      <c r="AA51" s="100"/>
      <c r="AB51" s="100"/>
      <c r="AC51" s="100"/>
      <c r="AD51" s="100"/>
    </row>
    <row r="52" spans="24:30" ht="11.25">
      <c r="X52" s="100"/>
      <c r="Y52" s="100"/>
      <c r="Z52" s="100"/>
      <c r="AA52" s="100"/>
      <c r="AB52" s="100"/>
      <c r="AC52" s="100"/>
      <c r="AD52" s="100"/>
    </row>
    <row r="53" spans="24:30" ht="11.25">
      <c r="X53" s="100"/>
      <c r="Y53" s="100"/>
      <c r="Z53" s="100"/>
      <c r="AA53" s="100"/>
      <c r="AB53" s="100"/>
      <c r="AC53" s="100"/>
      <c r="AD53" s="100"/>
    </row>
    <row r="54" spans="24:30" ht="11.25">
      <c r="X54" s="100"/>
      <c r="Y54" s="100"/>
      <c r="Z54" s="100"/>
      <c r="AA54" s="100"/>
      <c r="AB54" s="100"/>
      <c r="AC54" s="100"/>
      <c r="AD54" s="100"/>
    </row>
    <row r="55" spans="24:30" ht="11.25">
      <c r="X55" s="100"/>
      <c r="Y55" s="100"/>
      <c r="Z55" s="100"/>
      <c r="AA55" s="100"/>
      <c r="AB55" s="100"/>
      <c r="AC55" s="100"/>
      <c r="AD55" s="100"/>
    </row>
    <row r="56" spans="24:30" ht="11.25">
      <c r="X56" s="100"/>
      <c r="Y56" s="100"/>
      <c r="Z56" s="100"/>
      <c r="AA56" s="100"/>
      <c r="AB56" s="100"/>
      <c r="AC56" s="100"/>
      <c r="AD56" s="100"/>
    </row>
    <row r="57" spans="24:30" ht="11.25">
      <c r="X57" s="100"/>
      <c r="Y57" s="100"/>
      <c r="Z57" s="100"/>
      <c r="AA57" s="100"/>
      <c r="AB57" s="100"/>
      <c r="AC57" s="100"/>
      <c r="AD57" s="100"/>
    </row>
    <row r="58" spans="24:30" ht="11.25">
      <c r="X58" s="100"/>
      <c r="Y58" s="100"/>
      <c r="Z58" s="100"/>
      <c r="AA58" s="100"/>
      <c r="AB58" s="100"/>
      <c r="AC58" s="100"/>
      <c r="AD58" s="100"/>
    </row>
    <row r="59" spans="24:30" ht="11.25">
      <c r="X59" s="100"/>
      <c r="Y59" s="100"/>
      <c r="Z59" s="100"/>
      <c r="AA59" s="100"/>
      <c r="AB59" s="100"/>
      <c r="AC59" s="100"/>
      <c r="AD59" s="100"/>
    </row>
    <row r="60" spans="24:30" ht="11.25">
      <c r="X60" s="100"/>
      <c r="Y60" s="100"/>
      <c r="Z60" s="100"/>
      <c r="AA60" s="100"/>
      <c r="AB60" s="100"/>
      <c r="AC60" s="100"/>
      <c r="AD60" s="100"/>
    </row>
    <row r="61" spans="24:30" ht="11.25">
      <c r="X61" s="100"/>
      <c r="Y61" s="100"/>
      <c r="Z61" s="100"/>
      <c r="AA61" s="100"/>
      <c r="AB61" s="100"/>
      <c r="AC61" s="100"/>
      <c r="AD61" s="100"/>
    </row>
    <row r="62" spans="24:30" ht="11.25">
      <c r="X62" s="100"/>
      <c r="Y62" s="100"/>
      <c r="Z62" s="100"/>
      <c r="AA62" s="100"/>
      <c r="AB62" s="100"/>
      <c r="AC62" s="100"/>
      <c r="AD62" s="100"/>
    </row>
    <row r="63" spans="24:30" ht="11.25">
      <c r="X63" s="100"/>
      <c r="Y63" s="100"/>
      <c r="Z63" s="100"/>
      <c r="AA63" s="100"/>
      <c r="AB63" s="100"/>
      <c r="AC63" s="100"/>
      <c r="AD63" s="100"/>
    </row>
    <row r="64" spans="24:30" ht="11.25">
      <c r="X64" s="100"/>
      <c r="Y64" s="100"/>
      <c r="Z64" s="100"/>
      <c r="AA64" s="100"/>
      <c r="AB64" s="100"/>
      <c r="AC64" s="100"/>
      <c r="AD64" s="100"/>
    </row>
    <row r="65" spans="24:30" ht="11.25">
      <c r="X65" s="100"/>
      <c r="Y65" s="100"/>
      <c r="Z65" s="100"/>
      <c r="AA65" s="100"/>
      <c r="AB65" s="100"/>
      <c r="AC65" s="100"/>
      <c r="AD65" s="100"/>
    </row>
  </sheetData>
  <mergeCells count="33">
    <mergeCell ref="D33:M33"/>
    <mergeCell ref="N33:W33"/>
    <mergeCell ref="D34:H34"/>
    <mergeCell ref="I34:M34"/>
    <mergeCell ref="N34:R34"/>
    <mergeCell ref="S34:W34"/>
    <mergeCell ref="A11:A14"/>
    <mergeCell ref="A33:A36"/>
    <mergeCell ref="B33:B36"/>
    <mergeCell ref="C33:C36"/>
    <mergeCell ref="D35:H35"/>
    <mergeCell ref="I35:M35"/>
    <mergeCell ref="N35:R35"/>
    <mergeCell ref="S35:W35"/>
    <mergeCell ref="Q1:W1"/>
    <mergeCell ref="Q6:W6"/>
    <mergeCell ref="Q7:W7"/>
    <mergeCell ref="Q8:W8"/>
    <mergeCell ref="S2:W2"/>
    <mergeCell ref="D12:H12"/>
    <mergeCell ref="B4:W4"/>
    <mergeCell ref="B11:B14"/>
    <mergeCell ref="C11:C14"/>
    <mergeCell ref="D13:H13"/>
    <mergeCell ref="N13:R13"/>
    <mergeCell ref="S13:W13"/>
    <mergeCell ref="D11:M11"/>
    <mergeCell ref="N11:W11"/>
    <mergeCell ref="I13:M13"/>
    <mergeCell ref="Q9:W9"/>
    <mergeCell ref="N12:R12"/>
    <mergeCell ref="S12:W12"/>
    <mergeCell ref="I12:M12"/>
  </mergeCells>
  <printOptions/>
  <pageMargins left="0.7874015748031497" right="0.3937007874015748" top="0.984251968503937" bottom="0.3937007874015748" header="0" footer="0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23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19"/>
  <sheetViews>
    <sheetView zoomScale="85" zoomScaleNormal="85" zoomScaleSheetLayoutView="85" workbookViewId="0" topLeftCell="A105">
      <selection activeCell="G114" sqref="G114"/>
    </sheetView>
  </sheetViews>
  <sheetFormatPr defaultColWidth="9.00390625" defaultRowHeight="12.75"/>
  <cols>
    <col min="1" max="1" width="10.25390625" style="41" customWidth="1"/>
    <col min="2" max="2" width="37.75390625" style="42" customWidth="1"/>
    <col min="3" max="3" width="12.375" style="41" customWidth="1"/>
    <col min="4" max="4" width="12.875" style="41" customWidth="1"/>
    <col min="5" max="5" width="11.875" style="41" customWidth="1"/>
    <col min="6" max="6" width="12.25390625" style="41" customWidth="1"/>
    <col min="7" max="8" width="18.25390625" style="41" customWidth="1"/>
    <col min="9" max="9" width="18.00390625" style="39" customWidth="1"/>
    <col min="10" max="10" width="28.75390625" style="39" customWidth="1"/>
    <col min="11" max="11" width="10.25390625" style="39" customWidth="1"/>
    <col min="12" max="12" width="60.375" style="39" customWidth="1"/>
    <col min="13" max="13" width="10.25390625" style="39" customWidth="1"/>
    <col min="14" max="14" width="14.875" style="39" customWidth="1"/>
    <col min="15" max="16384" width="10.25390625" style="39" customWidth="1"/>
  </cols>
  <sheetData>
    <row r="1" spans="1:10" ht="55.5" customHeight="1" hidden="1">
      <c r="A1" s="37"/>
      <c r="B1" s="38"/>
      <c r="C1" s="37"/>
      <c r="D1" s="37"/>
      <c r="E1" s="37"/>
      <c r="F1" s="37"/>
      <c r="G1" s="37"/>
      <c r="H1" s="51"/>
      <c r="I1" s="603" t="s">
        <v>50</v>
      </c>
      <c r="J1" s="603"/>
    </row>
    <row r="2" spans="1:10" ht="20.25" customHeight="1">
      <c r="A2" s="37"/>
      <c r="B2" s="38"/>
      <c r="C2" s="37"/>
      <c r="D2" s="37"/>
      <c r="E2" s="37"/>
      <c r="F2" s="37"/>
      <c r="G2" s="37"/>
      <c r="H2" s="51"/>
      <c r="I2" s="607" t="s">
        <v>135</v>
      </c>
      <c r="J2" s="607"/>
    </row>
    <row r="3" spans="1:10" ht="20.25">
      <c r="A3" s="608" t="s">
        <v>94</v>
      </c>
      <c r="B3" s="609"/>
      <c r="C3" s="609"/>
      <c r="D3" s="609"/>
      <c r="E3" s="609"/>
      <c r="F3" s="609"/>
      <c r="G3" s="609"/>
      <c r="H3" s="609"/>
      <c r="I3" s="609"/>
      <c r="J3" s="609"/>
    </row>
    <row r="4" spans="1:10" ht="20.25">
      <c r="A4" s="37"/>
      <c r="B4" s="38"/>
      <c r="C4" s="37"/>
      <c r="D4" s="610" t="s">
        <v>95</v>
      </c>
      <c r="E4" s="610"/>
      <c r="F4" s="610"/>
      <c r="G4" s="610"/>
      <c r="H4" s="51"/>
      <c r="I4" s="51"/>
      <c r="J4" s="51"/>
    </row>
    <row r="5" spans="1:10" ht="20.25">
      <c r="A5" s="37"/>
      <c r="B5" s="38"/>
      <c r="C5" s="37"/>
      <c r="D5" s="66"/>
      <c r="E5" s="66"/>
      <c r="F5" s="66"/>
      <c r="G5" s="66"/>
      <c r="H5" s="51"/>
      <c r="I5" s="68" t="s">
        <v>101</v>
      </c>
      <c r="J5" s="68"/>
    </row>
    <row r="6" spans="1:10" ht="20.25">
      <c r="A6" s="37"/>
      <c r="B6" s="38"/>
      <c r="C6" s="37"/>
      <c r="D6" s="37"/>
      <c r="E6" s="37"/>
      <c r="F6" s="37"/>
      <c r="G6" s="37"/>
      <c r="H6" s="51"/>
      <c r="I6" s="611" t="s">
        <v>107</v>
      </c>
      <c r="J6" s="611"/>
    </row>
    <row r="7" spans="1:10" ht="20.25">
      <c r="A7" s="37"/>
      <c r="B7" s="38"/>
      <c r="C7" s="37"/>
      <c r="D7" s="37"/>
      <c r="E7" s="37"/>
      <c r="F7" s="37"/>
      <c r="G7" s="37"/>
      <c r="H7" s="51"/>
      <c r="I7" s="69"/>
      <c r="J7" s="68" t="s">
        <v>129</v>
      </c>
    </row>
    <row r="8" spans="1:10" ht="20.25" customHeight="1">
      <c r="A8" s="37"/>
      <c r="B8" s="38"/>
      <c r="C8" s="37"/>
      <c r="D8" s="37"/>
      <c r="E8" s="37"/>
      <c r="F8" s="37"/>
      <c r="G8" s="37"/>
      <c r="H8" s="51"/>
      <c r="I8" s="611" t="s">
        <v>196</v>
      </c>
      <c r="J8" s="611"/>
    </row>
    <row r="9" spans="1:10" ht="8.25" customHeight="1">
      <c r="A9" s="37"/>
      <c r="B9" s="38"/>
      <c r="C9" s="37"/>
      <c r="D9" s="37"/>
      <c r="E9" s="37"/>
      <c r="F9" s="37"/>
      <c r="G9" s="37"/>
      <c r="H9" s="51"/>
      <c r="I9" s="51"/>
      <c r="J9" s="51"/>
    </row>
    <row r="10" spans="1:13" ht="41.25" customHeight="1">
      <c r="A10" s="605" t="s">
        <v>244</v>
      </c>
      <c r="B10" s="605"/>
      <c r="C10" s="605"/>
      <c r="D10" s="605"/>
      <c r="E10" s="605"/>
      <c r="F10" s="605"/>
      <c r="G10" s="605"/>
      <c r="H10" s="605"/>
      <c r="I10" s="605"/>
      <c r="J10" s="605"/>
      <c r="K10" s="40"/>
      <c r="L10" s="40"/>
      <c r="M10" s="40"/>
    </row>
    <row r="11" ht="6.75" customHeight="1">
      <c r="I11" s="43"/>
    </row>
    <row r="12" ht="16.5" hidden="1" thickBot="1">
      <c r="I12" s="43"/>
    </row>
    <row r="13" spans="1:10" ht="34.5" customHeight="1">
      <c r="A13" s="604" t="s">
        <v>102</v>
      </c>
      <c r="B13" s="604" t="s">
        <v>81</v>
      </c>
      <c r="C13" s="604" t="s">
        <v>82</v>
      </c>
      <c r="D13" s="604"/>
      <c r="E13" s="604"/>
      <c r="F13" s="604"/>
      <c r="G13" s="606" t="s">
        <v>83</v>
      </c>
      <c r="H13" s="606" t="s">
        <v>51</v>
      </c>
      <c r="I13" s="604" t="s">
        <v>84</v>
      </c>
      <c r="J13" s="604" t="s">
        <v>52</v>
      </c>
    </row>
    <row r="14" spans="1:10" ht="15.75">
      <c r="A14" s="604"/>
      <c r="B14" s="604"/>
      <c r="C14" s="604" t="s">
        <v>85</v>
      </c>
      <c r="D14" s="604"/>
      <c r="E14" s="604" t="s">
        <v>86</v>
      </c>
      <c r="F14" s="604"/>
      <c r="G14" s="606"/>
      <c r="H14" s="606"/>
      <c r="I14" s="604"/>
      <c r="J14" s="604"/>
    </row>
    <row r="15" spans="1:14" ht="40.5" customHeight="1">
      <c r="A15" s="604"/>
      <c r="B15" s="604"/>
      <c r="C15" s="44" t="s">
        <v>87</v>
      </c>
      <c r="D15" s="44" t="s">
        <v>88</v>
      </c>
      <c r="E15" s="44" t="s">
        <v>87</v>
      </c>
      <c r="F15" s="44" t="s">
        <v>88</v>
      </c>
      <c r="G15" s="606"/>
      <c r="H15" s="606"/>
      <c r="I15" s="604"/>
      <c r="J15" s="604"/>
      <c r="L15" s="103"/>
      <c r="M15" s="103"/>
      <c r="N15" s="103"/>
    </row>
    <row r="16" spans="1:14" ht="15.75">
      <c r="A16" s="104">
        <v>1</v>
      </c>
      <c r="B16" s="104">
        <v>2</v>
      </c>
      <c r="C16" s="57">
        <v>3</v>
      </c>
      <c r="D16" s="57">
        <v>4</v>
      </c>
      <c r="E16" s="57">
        <v>5</v>
      </c>
      <c r="F16" s="57">
        <v>6</v>
      </c>
      <c r="G16" s="57">
        <v>7</v>
      </c>
      <c r="H16" s="57">
        <v>8</v>
      </c>
      <c r="I16" s="57">
        <v>9</v>
      </c>
      <c r="J16" s="73">
        <v>10</v>
      </c>
      <c r="L16" s="58"/>
      <c r="M16" s="58"/>
      <c r="N16" s="58"/>
    </row>
    <row r="17" spans="1:10" ht="31.5">
      <c r="A17" s="71">
        <v>1</v>
      </c>
      <c r="B17" s="12" t="s">
        <v>149</v>
      </c>
      <c r="C17" s="105" t="s">
        <v>197</v>
      </c>
      <c r="D17" s="105" t="s">
        <v>208</v>
      </c>
      <c r="E17" s="45"/>
      <c r="F17" s="52" t="s">
        <v>61</v>
      </c>
      <c r="G17" s="52">
        <v>15</v>
      </c>
      <c r="H17" s="52">
        <v>15</v>
      </c>
      <c r="I17" s="46" t="s">
        <v>61</v>
      </c>
      <c r="J17" s="74"/>
    </row>
    <row r="18" spans="1:14" ht="15.75">
      <c r="A18" s="72"/>
      <c r="B18" s="47" t="s">
        <v>89</v>
      </c>
      <c r="C18" s="53" t="s">
        <v>199</v>
      </c>
      <c r="D18" s="49" t="s">
        <v>200</v>
      </c>
      <c r="E18" s="53" t="s">
        <v>199</v>
      </c>
      <c r="F18" s="49" t="s">
        <v>61</v>
      </c>
      <c r="G18" s="50">
        <v>50</v>
      </c>
      <c r="H18" s="50">
        <v>50</v>
      </c>
      <c r="I18" s="46" t="s">
        <v>61</v>
      </c>
      <c r="J18" s="74"/>
      <c r="L18" s="103"/>
      <c r="M18" s="103"/>
      <c r="N18" s="103"/>
    </row>
    <row r="19" spans="1:14" ht="15.75">
      <c r="A19" s="72"/>
      <c r="B19" s="47" t="s">
        <v>90</v>
      </c>
      <c r="C19" s="54" t="s">
        <v>207</v>
      </c>
      <c r="D19" s="49" t="s">
        <v>200</v>
      </c>
      <c r="E19" s="48" t="s">
        <v>61</v>
      </c>
      <c r="F19" s="49" t="s">
        <v>61</v>
      </c>
      <c r="G19" s="50">
        <v>0</v>
      </c>
      <c r="H19" s="50">
        <v>0</v>
      </c>
      <c r="I19" s="46" t="s">
        <v>61</v>
      </c>
      <c r="J19" s="74"/>
      <c r="L19" s="103"/>
      <c r="M19" s="103"/>
      <c r="N19" s="103"/>
    </row>
    <row r="20" spans="1:14" ht="47.25" customHeight="1">
      <c r="A20" s="72"/>
      <c r="B20" s="47" t="s">
        <v>91</v>
      </c>
      <c r="C20" s="54" t="s">
        <v>200</v>
      </c>
      <c r="D20" s="49" t="s">
        <v>201</v>
      </c>
      <c r="E20" s="48"/>
      <c r="F20" s="49"/>
      <c r="G20" s="50">
        <v>0</v>
      </c>
      <c r="H20" s="50">
        <v>0</v>
      </c>
      <c r="I20" s="46" t="s">
        <v>61</v>
      </c>
      <c r="J20" s="74"/>
      <c r="L20" s="103"/>
      <c r="M20" s="103"/>
      <c r="N20" s="103"/>
    </row>
    <row r="21" spans="1:14" ht="15.75">
      <c r="A21" s="72"/>
      <c r="B21" s="47" t="s">
        <v>92</v>
      </c>
      <c r="C21" s="54" t="s">
        <v>201</v>
      </c>
      <c r="D21" s="54" t="s">
        <v>201</v>
      </c>
      <c r="E21" s="48"/>
      <c r="F21" s="49"/>
      <c r="G21" s="50">
        <v>0</v>
      </c>
      <c r="H21" s="50">
        <v>0</v>
      </c>
      <c r="I21" s="46" t="s">
        <v>61</v>
      </c>
      <c r="J21" s="74"/>
      <c r="L21" s="103"/>
      <c r="M21" s="103"/>
      <c r="N21" s="103"/>
    </row>
    <row r="22" spans="1:10" ht="31.5">
      <c r="A22" s="71">
        <v>2</v>
      </c>
      <c r="B22" s="12" t="s">
        <v>150</v>
      </c>
      <c r="C22" s="105" t="s">
        <v>197</v>
      </c>
      <c r="D22" s="105" t="s">
        <v>208</v>
      </c>
      <c r="E22" s="45"/>
      <c r="F22" s="52"/>
      <c r="G22" s="52">
        <v>15</v>
      </c>
      <c r="H22" s="52">
        <v>15</v>
      </c>
      <c r="I22" s="46" t="s">
        <v>61</v>
      </c>
      <c r="J22" s="74"/>
    </row>
    <row r="23" spans="1:14" ht="15.75">
      <c r="A23" s="72"/>
      <c r="B23" s="47" t="s">
        <v>89</v>
      </c>
      <c r="C23" s="53" t="s">
        <v>199</v>
      </c>
      <c r="D23" s="49" t="s">
        <v>200</v>
      </c>
      <c r="E23" s="53" t="s">
        <v>199</v>
      </c>
      <c r="F23" s="49"/>
      <c r="G23" s="50">
        <v>50</v>
      </c>
      <c r="H23" s="50">
        <v>50</v>
      </c>
      <c r="I23" s="46" t="s">
        <v>61</v>
      </c>
      <c r="J23" s="74"/>
      <c r="L23" s="103"/>
      <c r="M23" s="103"/>
      <c r="N23" s="103"/>
    </row>
    <row r="24" spans="1:14" ht="15.75">
      <c r="A24" s="72"/>
      <c r="B24" s="47" t="s">
        <v>90</v>
      </c>
      <c r="C24" s="54" t="s">
        <v>207</v>
      </c>
      <c r="D24" s="49" t="s">
        <v>200</v>
      </c>
      <c r="E24" s="48" t="s">
        <v>61</v>
      </c>
      <c r="F24" s="49"/>
      <c r="G24" s="50">
        <v>0</v>
      </c>
      <c r="H24" s="50">
        <v>0</v>
      </c>
      <c r="I24" s="46" t="s">
        <v>61</v>
      </c>
      <c r="J24" s="74"/>
      <c r="L24" s="103"/>
      <c r="M24" s="103"/>
      <c r="N24" s="103"/>
    </row>
    <row r="25" spans="1:14" ht="48" customHeight="1">
      <c r="A25" s="72"/>
      <c r="B25" s="47" t="s">
        <v>91</v>
      </c>
      <c r="C25" s="54" t="s">
        <v>200</v>
      </c>
      <c r="D25" s="49" t="s">
        <v>201</v>
      </c>
      <c r="E25" s="48"/>
      <c r="F25" s="49"/>
      <c r="G25" s="50">
        <v>0</v>
      </c>
      <c r="H25" s="50">
        <v>0</v>
      </c>
      <c r="I25" s="46" t="s">
        <v>61</v>
      </c>
      <c r="J25" s="74"/>
      <c r="L25" s="103"/>
      <c r="M25" s="103"/>
      <c r="N25" s="103"/>
    </row>
    <row r="26" spans="1:14" ht="20.25" customHeight="1">
      <c r="A26" s="72"/>
      <c r="B26" s="47" t="s">
        <v>92</v>
      </c>
      <c r="C26" s="54" t="s">
        <v>201</v>
      </c>
      <c r="D26" s="54" t="s">
        <v>201</v>
      </c>
      <c r="E26" s="48"/>
      <c r="F26" s="49"/>
      <c r="G26" s="50">
        <v>0</v>
      </c>
      <c r="H26" s="50">
        <v>0</v>
      </c>
      <c r="I26" s="46" t="s">
        <v>61</v>
      </c>
      <c r="J26" s="74"/>
      <c r="L26" s="103"/>
      <c r="M26" s="103"/>
      <c r="N26" s="103"/>
    </row>
    <row r="27" spans="1:14" ht="36.75" customHeight="1">
      <c r="A27" s="71">
        <v>3</v>
      </c>
      <c r="B27" s="12" t="s">
        <v>151</v>
      </c>
      <c r="C27" s="105" t="s">
        <v>197</v>
      </c>
      <c r="D27" s="105" t="s">
        <v>209</v>
      </c>
      <c r="E27" s="48"/>
      <c r="F27" s="49"/>
      <c r="G27" s="52">
        <v>15</v>
      </c>
      <c r="H27" s="52">
        <v>15</v>
      </c>
      <c r="I27" s="46"/>
      <c r="J27" s="74"/>
      <c r="L27" s="103"/>
      <c r="M27" s="103"/>
      <c r="N27" s="103"/>
    </row>
    <row r="28" spans="1:14" ht="20.25" customHeight="1">
      <c r="A28" s="102"/>
      <c r="B28" s="47" t="s">
        <v>89</v>
      </c>
      <c r="C28" s="53" t="s">
        <v>199</v>
      </c>
      <c r="D28" s="49" t="s">
        <v>200</v>
      </c>
      <c r="E28" s="53" t="s">
        <v>199</v>
      </c>
      <c r="F28" s="49"/>
      <c r="G28" s="50">
        <v>50</v>
      </c>
      <c r="H28" s="50">
        <v>50</v>
      </c>
      <c r="I28" s="46" t="s">
        <v>61</v>
      </c>
      <c r="J28" s="74"/>
      <c r="L28" s="103"/>
      <c r="M28" s="103"/>
      <c r="N28" s="103"/>
    </row>
    <row r="29" spans="1:14" ht="20.25" customHeight="1">
      <c r="A29" s="102"/>
      <c r="B29" s="47" t="s">
        <v>90</v>
      </c>
      <c r="C29" s="54" t="s">
        <v>200</v>
      </c>
      <c r="D29" s="49" t="s">
        <v>204</v>
      </c>
      <c r="E29" s="48" t="s">
        <v>61</v>
      </c>
      <c r="F29" s="49" t="s">
        <v>61</v>
      </c>
      <c r="G29" s="50">
        <v>0</v>
      </c>
      <c r="H29" s="50">
        <v>0</v>
      </c>
      <c r="I29" s="46" t="s">
        <v>61</v>
      </c>
      <c r="J29" s="74"/>
      <c r="L29" s="103"/>
      <c r="M29" s="103"/>
      <c r="N29" s="103"/>
    </row>
    <row r="30" spans="1:14" ht="49.5" customHeight="1">
      <c r="A30" s="102"/>
      <c r="B30" s="47" t="s">
        <v>91</v>
      </c>
      <c r="C30" s="54" t="s">
        <v>203</v>
      </c>
      <c r="D30" s="49" t="s">
        <v>202</v>
      </c>
      <c r="E30" s="48" t="s">
        <v>61</v>
      </c>
      <c r="F30" s="49" t="s">
        <v>61</v>
      </c>
      <c r="G30" s="50">
        <v>0</v>
      </c>
      <c r="H30" s="50">
        <v>0</v>
      </c>
      <c r="I30" s="46" t="s">
        <v>61</v>
      </c>
      <c r="J30" s="74"/>
      <c r="L30" s="103"/>
      <c r="M30" s="103"/>
      <c r="N30" s="103"/>
    </row>
    <row r="31" spans="1:14" ht="20.25" customHeight="1">
      <c r="A31" s="102"/>
      <c r="B31" s="47" t="s">
        <v>92</v>
      </c>
      <c r="C31" s="54" t="s">
        <v>202</v>
      </c>
      <c r="D31" s="49" t="s">
        <v>202</v>
      </c>
      <c r="E31" s="48" t="s">
        <v>61</v>
      </c>
      <c r="F31" s="49" t="s">
        <v>61</v>
      </c>
      <c r="G31" s="50">
        <v>0</v>
      </c>
      <c r="H31" s="50">
        <v>0</v>
      </c>
      <c r="I31" s="46" t="s">
        <v>61</v>
      </c>
      <c r="J31" s="74"/>
      <c r="L31" s="103"/>
      <c r="M31" s="103"/>
      <c r="N31" s="103"/>
    </row>
    <row r="32" spans="1:10" ht="34.5" customHeight="1">
      <c r="A32" s="604" t="s">
        <v>102</v>
      </c>
      <c r="B32" s="604" t="s">
        <v>81</v>
      </c>
      <c r="C32" s="604" t="s">
        <v>82</v>
      </c>
      <c r="D32" s="604"/>
      <c r="E32" s="604"/>
      <c r="F32" s="604"/>
      <c r="G32" s="606" t="s">
        <v>83</v>
      </c>
      <c r="H32" s="606" t="s">
        <v>51</v>
      </c>
      <c r="I32" s="604" t="s">
        <v>84</v>
      </c>
      <c r="J32" s="604" t="s">
        <v>52</v>
      </c>
    </row>
    <row r="33" spans="1:10" ht="15.75">
      <c r="A33" s="604"/>
      <c r="B33" s="604"/>
      <c r="C33" s="604" t="s">
        <v>85</v>
      </c>
      <c r="D33" s="604"/>
      <c r="E33" s="604" t="s">
        <v>86</v>
      </c>
      <c r="F33" s="604"/>
      <c r="G33" s="606"/>
      <c r="H33" s="606"/>
      <c r="I33" s="604"/>
      <c r="J33" s="604"/>
    </row>
    <row r="34" spans="1:14" ht="67.5" customHeight="1">
      <c r="A34" s="604"/>
      <c r="B34" s="604"/>
      <c r="C34" s="44" t="s">
        <v>87</v>
      </c>
      <c r="D34" s="44" t="s">
        <v>88</v>
      </c>
      <c r="E34" s="44" t="s">
        <v>87</v>
      </c>
      <c r="F34" s="44" t="s">
        <v>88</v>
      </c>
      <c r="G34" s="606"/>
      <c r="H34" s="606"/>
      <c r="I34" s="604"/>
      <c r="J34" s="604"/>
      <c r="L34" s="103"/>
      <c r="M34" s="103"/>
      <c r="N34" s="103"/>
    </row>
    <row r="35" spans="1:14" ht="43.5" customHeight="1">
      <c r="A35" s="71">
        <v>4</v>
      </c>
      <c r="B35" s="12" t="s">
        <v>152</v>
      </c>
      <c r="C35" s="105" t="s">
        <v>197</v>
      </c>
      <c r="D35" s="105" t="s">
        <v>198</v>
      </c>
      <c r="E35" s="48"/>
      <c r="F35" s="49"/>
      <c r="G35" s="52">
        <v>15</v>
      </c>
      <c r="H35" s="52">
        <v>15</v>
      </c>
      <c r="I35" s="46"/>
      <c r="J35" s="74"/>
      <c r="L35" s="103"/>
      <c r="M35" s="103"/>
      <c r="N35" s="103"/>
    </row>
    <row r="36" spans="1:14" ht="29.25" customHeight="1">
      <c r="A36" s="102"/>
      <c r="B36" s="47" t="s">
        <v>89</v>
      </c>
      <c r="C36" s="53" t="s">
        <v>199</v>
      </c>
      <c r="D36" s="49" t="s">
        <v>200</v>
      </c>
      <c r="E36" s="53" t="s">
        <v>199</v>
      </c>
      <c r="F36" s="49"/>
      <c r="G36" s="50">
        <v>50</v>
      </c>
      <c r="H36" s="50">
        <v>50</v>
      </c>
      <c r="I36" s="46"/>
      <c r="J36" s="74"/>
      <c r="L36" s="103"/>
      <c r="M36" s="103"/>
      <c r="N36" s="103"/>
    </row>
    <row r="37" spans="1:14" ht="31.5" customHeight="1">
      <c r="A37" s="102"/>
      <c r="B37" s="47" t="s">
        <v>90</v>
      </c>
      <c r="C37" s="54" t="s">
        <v>200</v>
      </c>
      <c r="D37" s="49" t="s">
        <v>204</v>
      </c>
      <c r="E37" s="48" t="s">
        <v>61</v>
      </c>
      <c r="F37" s="49"/>
      <c r="G37" s="50">
        <v>0</v>
      </c>
      <c r="H37" s="50">
        <v>0</v>
      </c>
      <c r="I37" s="46"/>
      <c r="J37" s="74"/>
      <c r="L37" s="103"/>
      <c r="M37" s="103"/>
      <c r="N37" s="103"/>
    </row>
    <row r="38" spans="1:14" ht="54" customHeight="1">
      <c r="A38" s="102"/>
      <c r="B38" s="47" t="s">
        <v>91</v>
      </c>
      <c r="C38" s="54" t="s">
        <v>203</v>
      </c>
      <c r="D38" s="49" t="s">
        <v>202</v>
      </c>
      <c r="E38" s="48" t="s">
        <v>61</v>
      </c>
      <c r="F38" s="49"/>
      <c r="G38" s="50">
        <v>0</v>
      </c>
      <c r="H38" s="50">
        <v>0</v>
      </c>
      <c r="I38" s="46"/>
      <c r="J38" s="74"/>
      <c r="L38" s="103"/>
      <c r="M38" s="103"/>
      <c r="N38" s="103"/>
    </row>
    <row r="39" spans="1:14" ht="28.5" customHeight="1">
      <c r="A39" s="102"/>
      <c r="B39" s="47" t="s">
        <v>92</v>
      </c>
      <c r="C39" s="54" t="s">
        <v>202</v>
      </c>
      <c r="D39" s="49" t="s">
        <v>202</v>
      </c>
      <c r="E39" s="48" t="s">
        <v>61</v>
      </c>
      <c r="F39" s="49"/>
      <c r="G39" s="50">
        <v>0</v>
      </c>
      <c r="H39" s="50">
        <v>0</v>
      </c>
      <c r="I39" s="46"/>
      <c r="J39" s="74"/>
      <c r="L39" s="103"/>
      <c r="M39" s="103"/>
      <c r="N39" s="103"/>
    </row>
    <row r="40" spans="1:14" ht="31.5" customHeight="1">
      <c r="A40" s="217">
        <v>5</v>
      </c>
      <c r="B40" s="245" t="s">
        <v>164</v>
      </c>
      <c r="C40" s="218" t="s">
        <v>197</v>
      </c>
      <c r="D40" s="218" t="s">
        <v>209</v>
      </c>
      <c r="E40" s="219"/>
      <c r="F40" s="220"/>
      <c r="G40" s="221">
        <v>15</v>
      </c>
      <c r="H40" s="221">
        <v>15</v>
      </c>
      <c r="I40" s="222"/>
      <c r="J40" s="223"/>
      <c r="L40" s="103"/>
      <c r="M40" s="103"/>
      <c r="N40" s="103"/>
    </row>
    <row r="41" spans="1:14" ht="20.25" customHeight="1">
      <c r="A41" s="102"/>
      <c r="B41" s="47" t="s">
        <v>89</v>
      </c>
      <c r="C41" s="53" t="s">
        <v>199</v>
      </c>
      <c r="D41" s="49" t="s">
        <v>200</v>
      </c>
      <c r="E41" s="53" t="s">
        <v>199</v>
      </c>
      <c r="F41" s="49"/>
      <c r="G41" s="50">
        <v>50</v>
      </c>
      <c r="H41" s="50">
        <v>50</v>
      </c>
      <c r="I41" s="46"/>
      <c r="J41" s="74"/>
      <c r="L41" s="103"/>
      <c r="M41" s="103"/>
      <c r="N41" s="103"/>
    </row>
    <row r="42" spans="1:14" ht="20.25" customHeight="1">
      <c r="A42" s="102"/>
      <c r="B42" s="47" t="s">
        <v>90</v>
      </c>
      <c r="C42" s="54" t="s">
        <v>201</v>
      </c>
      <c r="D42" s="49" t="s">
        <v>205</v>
      </c>
      <c r="E42" s="48" t="s">
        <v>61</v>
      </c>
      <c r="F42" s="49"/>
      <c r="G42" s="50">
        <v>0</v>
      </c>
      <c r="H42" s="50">
        <v>0</v>
      </c>
      <c r="I42" s="46"/>
      <c r="J42" s="74"/>
      <c r="L42" s="103"/>
      <c r="M42" s="103"/>
      <c r="N42" s="103"/>
    </row>
    <row r="43" spans="1:14" ht="49.5" customHeight="1">
      <c r="A43" s="102"/>
      <c r="B43" s="47" t="s">
        <v>91</v>
      </c>
      <c r="C43" s="54" t="s">
        <v>205</v>
      </c>
      <c r="D43" s="49" t="s">
        <v>202</v>
      </c>
      <c r="E43" s="48" t="s">
        <v>61</v>
      </c>
      <c r="F43" s="49"/>
      <c r="G43" s="50">
        <v>0</v>
      </c>
      <c r="H43" s="50">
        <v>0</v>
      </c>
      <c r="I43" s="46"/>
      <c r="J43" s="74"/>
      <c r="L43" s="103"/>
      <c r="M43" s="103"/>
      <c r="N43" s="103"/>
    </row>
    <row r="44" spans="1:14" ht="20.25" customHeight="1">
      <c r="A44" s="102"/>
      <c r="B44" s="47" t="s">
        <v>92</v>
      </c>
      <c r="C44" s="54" t="s">
        <v>202</v>
      </c>
      <c r="D44" s="49" t="s">
        <v>202</v>
      </c>
      <c r="E44" s="48" t="s">
        <v>61</v>
      </c>
      <c r="F44" s="49"/>
      <c r="G44" s="50">
        <v>0</v>
      </c>
      <c r="H44" s="50">
        <v>0</v>
      </c>
      <c r="I44" s="46"/>
      <c r="J44" s="74"/>
      <c r="L44" s="103"/>
      <c r="M44" s="103"/>
      <c r="N44" s="103"/>
    </row>
    <row r="45" spans="1:14" ht="25.5" customHeight="1">
      <c r="A45" s="217">
        <v>6</v>
      </c>
      <c r="B45" s="244" t="s">
        <v>144</v>
      </c>
      <c r="C45" s="218" t="s">
        <v>197</v>
      </c>
      <c r="D45" s="218" t="s">
        <v>198</v>
      </c>
      <c r="E45" s="219"/>
      <c r="F45" s="220"/>
      <c r="G45" s="221">
        <v>15</v>
      </c>
      <c r="H45" s="221">
        <v>15</v>
      </c>
      <c r="I45" s="222"/>
      <c r="J45" s="223"/>
      <c r="L45" s="103"/>
      <c r="M45" s="103"/>
      <c r="N45" s="103"/>
    </row>
    <row r="46" spans="1:14" ht="32.25" customHeight="1">
      <c r="A46" s="102"/>
      <c r="B46" s="47" t="s">
        <v>89</v>
      </c>
      <c r="C46" s="53" t="s">
        <v>199</v>
      </c>
      <c r="D46" s="49" t="s">
        <v>200</v>
      </c>
      <c r="E46" s="53" t="s">
        <v>199</v>
      </c>
      <c r="F46" s="49"/>
      <c r="G46" s="50">
        <v>50</v>
      </c>
      <c r="H46" s="50">
        <v>50</v>
      </c>
      <c r="I46" s="46"/>
      <c r="J46" s="74"/>
      <c r="L46" s="103"/>
      <c r="M46" s="103"/>
      <c r="N46" s="103"/>
    </row>
    <row r="47" spans="1:14" ht="30" customHeight="1">
      <c r="A47" s="102"/>
      <c r="B47" s="47" t="s">
        <v>90</v>
      </c>
      <c r="C47" s="54" t="s">
        <v>207</v>
      </c>
      <c r="D47" s="49" t="s">
        <v>200</v>
      </c>
      <c r="E47" s="48"/>
      <c r="F47" s="49"/>
      <c r="G47" s="50">
        <v>0</v>
      </c>
      <c r="H47" s="50">
        <v>0</v>
      </c>
      <c r="I47" s="46"/>
      <c r="J47" s="74"/>
      <c r="L47" s="103"/>
      <c r="M47" s="103"/>
      <c r="N47" s="103"/>
    </row>
    <row r="48" spans="1:14" ht="60" customHeight="1">
      <c r="A48" s="102"/>
      <c r="B48" s="47" t="s">
        <v>91</v>
      </c>
      <c r="C48" s="54" t="s">
        <v>200</v>
      </c>
      <c r="D48" s="49" t="s">
        <v>201</v>
      </c>
      <c r="E48" s="48"/>
      <c r="F48" s="49"/>
      <c r="G48" s="50">
        <v>0</v>
      </c>
      <c r="H48" s="50">
        <v>0</v>
      </c>
      <c r="I48" s="46"/>
      <c r="J48" s="74"/>
      <c r="L48" s="103"/>
      <c r="M48" s="103"/>
      <c r="N48" s="103"/>
    </row>
    <row r="49" spans="1:14" ht="27" customHeight="1">
      <c r="A49" s="102"/>
      <c r="B49" s="47" t="s">
        <v>92</v>
      </c>
      <c r="C49" s="54" t="s">
        <v>201</v>
      </c>
      <c r="D49" s="49" t="s">
        <v>201</v>
      </c>
      <c r="E49" s="48"/>
      <c r="F49" s="49"/>
      <c r="G49" s="50">
        <v>0</v>
      </c>
      <c r="H49" s="50">
        <v>0</v>
      </c>
      <c r="I49" s="46"/>
      <c r="J49" s="74"/>
      <c r="L49" s="103"/>
      <c r="M49" s="103"/>
      <c r="N49" s="103"/>
    </row>
    <row r="50" spans="1:14" ht="30.75" customHeight="1">
      <c r="A50" s="217">
        <v>7</v>
      </c>
      <c r="B50" s="244" t="s">
        <v>154</v>
      </c>
      <c r="C50" s="248" t="s">
        <v>197</v>
      </c>
      <c r="D50" s="248" t="s">
        <v>198</v>
      </c>
      <c r="E50" s="219"/>
      <c r="F50" s="220"/>
      <c r="G50" s="221">
        <v>15</v>
      </c>
      <c r="H50" s="221">
        <v>15</v>
      </c>
      <c r="I50" s="222"/>
      <c r="J50" s="223"/>
      <c r="L50" s="103"/>
      <c r="M50" s="103"/>
      <c r="N50" s="103"/>
    </row>
    <row r="51" spans="1:14" ht="32.25" customHeight="1">
      <c r="A51" s="102"/>
      <c r="B51" s="47" t="s">
        <v>89</v>
      </c>
      <c r="C51" s="53" t="s">
        <v>199</v>
      </c>
      <c r="D51" s="49" t="s">
        <v>200</v>
      </c>
      <c r="E51" s="53" t="s">
        <v>199</v>
      </c>
      <c r="F51" s="49"/>
      <c r="G51" s="50">
        <v>50</v>
      </c>
      <c r="H51" s="50">
        <v>50</v>
      </c>
      <c r="I51" s="46"/>
      <c r="J51" s="74"/>
      <c r="L51" s="103"/>
      <c r="M51" s="103"/>
      <c r="N51" s="103"/>
    </row>
    <row r="52" spans="1:14" ht="30" customHeight="1">
      <c r="A52" s="102"/>
      <c r="B52" s="47" t="s">
        <v>90</v>
      </c>
      <c r="C52" s="54" t="s">
        <v>207</v>
      </c>
      <c r="D52" s="49" t="s">
        <v>200</v>
      </c>
      <c r="E52" s="48"/>
      <c r="F52" s="49"/>
      <c r="G52" s="50">
        <v>0</v>
      </c>
      <c r="H52" s="50">
        <v>0</v>
      </c>
      <c r="I52" s="46"/>
      <c r="J52" s="74"/>
      <c r="L52" s="103"/>
      <c r="M52" s="103"/>
      <c r="N52" s="103"/>
    </row>
    <row r="53" spans="1:10" ht="34.5" customHeight="1">
      <c r="A53" s="604" t="s">
        <v>102</v>
      </c>
      <c r="B53" s="604" t="s">
        <v>81</v>
      </c>
      <c r="C53" s="604" t="s">
        <v>82</v>
      </c>
      <c r="D53" s="604"/>
      <c r="E53" s="604"/>
      <c r="F53" s="604"/>
      <c r="G53" s="606" t="s">
        <v>83</v>
      </c>
      <c r="H53" s="606" t="s">
        <v>51</v>
      </c>
      <c r="I53" s="604" t="s">
        <v>84</v>
      </c>
      <c r="J53" s="604" t="s">
        <v>52</v>
      </c>
    </row>
    <row r="54" spans="1:10" ht="15.75">
      <c r="A54" s="604"/>
      <c r="B54" s="604"/>
      <c r="C54" s="604" t="s">
        <v>85</v>
      </c>
      <c r="D54" s="604"/>
      <c r="E54" s="604" t="s">
        <v>86</v>
      </c>
      <c r="F54" s="604"/>
      <c r="G54" s="606"/>
      <c r="H54" s="606"/>
      <c r="I54" s="604"/>
      <c r="J54" s="604"/>
    </row>
    <row r="55" spans="1:14" ht="67.5" customHeight="1">
      <c r="A55" s="604"/>
      <c r="B55" s="604"/>
      <c r="C55" s="44" t="s">
        <v>87</v>
      </c>
      <c r="D55" s="44" t="s">
        <v>88</v>
      </c>
      <c r="E55" s="44" t="s">
        <v>87</v>
      </c>
      <c r="F55" s="44" t="s">
        <v>88</v>
      </c>
      <c r="G55" s="606"/>
      <c r="H55" s="606"/>
      <c r="I55" s="604"/>
      <c r="J55" s="604"/>
      <c r="L55" s="103"/>
      <c r="M55" s="103"/>
      <c r="N55" s="103"/>
    </row>
    <row r="56" spans="1:14" ht="60" customHeight="1">
      <c r="A56" s="102"/>
      <c r="B56" s="47" t="s">
        <v>91</v>
      </c>
      <c r="C56" s="54" t="s">
        <v>200</v>
      </c>
      <c r="D56" s="49" t="s">
        <v>201</v>
      </c>
      <c r="E56" s="48"/>
      <c r="F56" s="49"/>
      <c r="G56" s="50">
        <v>0</v>
      </c>
      <c r="H56" s="50">
        <v>0</v>
      </c>
      <c r="I56" s="46"/>
      <c r="J56" s="74"/>
      <c r="L56" s="103"/>
      <c r="M56" s="103"/>
      <c r="N56" s="103"/>
    </row>
    <row r="57" spans="1:14" ht="27" customHeight="1">
      <c r="A57" s="102"/>
      <c r="B57" s="47" t="s">
        <v>92</v>
      </c>
      <c r="C57" s="54" t="s">
        <v>201</v>
      </c>
      <c r="D57" s="49" t="s">
        <v>201</v>
      </c>
      <c r="E57" s="48"/>
      <c r="F57" s="49"/>
      <c r="G57" s="50">
        <v>0</v>
      </c>
      <c r="H57" s="50">
        <v>0</v>
      </c>
      <c r="I57" s="46"/>
      <c r="J57" s="74"/>
      <c r="L57" s="103"/>
      <c r="M57" s="103"/>
      <c r="N57" s="103"/>
    </row>
    <row r="58" spans="1:14" ht="27" customHeight="1">
      <c r="A58" s="289" t="s">
        <v>218</v>
      </c>
      <c r="B58" s="246" t="s">
        <v>222</v>
      </c>
      <c r="C58" s="218" t="s">
        <v>197</v>
      </c>
      <c r="D58" s="218" t="s">
        <v>211</v>
      </c>
      <c r="E58" s="218" t="s">
        <v>197</v>
      </c>
      <c r="F58" s="218" t="s">
        <v>211</v>
      </c>
      <c r="G58" s="221">
        <v>100</v>
      </c>
      <c r="H58" s="221">
        <v>100</v>
      </c>
      <c r="I58" s="222"/>
      <c r="J58" s="223"/>
      <c r="L58" s="103"/>
      <c r="M58" s="103"/>
      <c r="N58" s="103"/>
    </row>
    <row r="59" spans="1:14" ht="27" customHeight="1">
      <c r="A59" s="102"/>
      <c r="B59" s="47" t="s">
        <v>89</v>
      </c>
      <c r="C59" s="53" t="s">
        <v>199</v>
      </c>
      <c r="D59" s="49" t="s">
        <v>207</v>
      </c>
      <c r="E59" s="53" t="s">
        <v>199</v>
      </c>
      <c r="F59" s="49" t="s">
        <v>207</v>
      </c>
      <c r="G59" s="50">
        <v>100</v>
      </c>
      <c r="H59" s="50">
        <v>100</v>
      </c>
      <c r="I59" s="46"/>
      <c r="J59" s="74"/>
      <c r="L59" s="103"/>
      <c r="M59" s="103"/>
      <c r="N59" s="103"/>
    </row>
    <row r="60" spans="1:14" ht="27" customHeight="1">
      <c r="A60" s="102"/>
      <c r="B60" s="47" t="s">
        <v>90</v>
      </c>
      <c r="C60" s="54" t="s">
        <v>199</v>
      </c>
      <c r="D60" s="49" t="s">
        <v>210</v>
      </c>
      <c r="E60" s="54" t="s">
        <v>199</v>
      </c>
      <c r="F60" s="49" t="s">
        <v>210</v>
      </c>
      <c r="G60" s="50">
        <v>100</v>
      </c>
      <c r="H60" s="50">
        <v>100</v>
      </c>
      <c r="I60" s="46"/>
      <c r="J60" s="74"/>
      <c r="L60" s="103"/>
      <c r="M60" s="103"/>
      <c r="N60" s="103"/>
    </row>
    <row r="61" spans="1:14" ht="49.5" customHeight="1">
      <c r="A61" s="102"/>
      <c r="B61" s="47" t="s">
        <v>91</v>
      </c>
      <c r="C61" s="54" t="s">
        <v>210</v>
      </c>
      <c r="D61" s="49" t="s">
        <v>207</v>
      </c>
      <c r="E61" s="54" t="s">
        <v>210</v>
      </c>
      <c r="F61" s="49" t="s">
        <v>207</v>
      </c>
      <c r="G61" s="50">
        <v>100</v>
      </c>
      <c r="H61" s="50">
        <v>100</v>
      </c>
      <c r="I61" s="46"/>
      <c r="J61" s="74"/>
      <c r="L61" s="103"/>
      <c r="M61" s="103"/>
      <c r="N61" s="103"/>
    </row>
    <row r="62" spans="1:14" ht="27" customHeight="1">
      <c r="A62" s="102"/>
      <c r="B62" s="47" t="s">
        <v>92</v>
      </c>
      <c r="C62" s="54" t="s">
        <v>207</v>
      </c>
      <c r="D62" s="49" t="s">
        <v>207</v>
      </c>
      <c r="E62" s="54" t="s">
        <v>207</v>
      </c>
      <c r="F62" s="49" t="s">
        <v>207</v>
      </c>
      <c r="G62" s="50">
        <v>100</v>
      </c>
      <c r="H62" s="50">
        <v>100</v>
      </c>
      <c r="I62" s="46"/>
      <c r="J62" s="74"/>
      <c r="L62" s="103"/>
      <c r="M62" s="103"/>
      <c r="N62" s="103"/>
    </row>
    <row r="63" spans="1:14" ht="27" customHeight="1">
      <c r="A63" s="224">
        <v>8</v>
      </c>
      <c r="B63" s="246" t="s">
        <v>155</v>
      </c>
      <c r="C63" s="218" t="s">
        <v>197</v>
      </c>
      <c r="D63" s="218" t="s">
        <v>211</v>
      </c>
      <c r="E63" s="218" t="s">
        <v>197</v>
      </c>
      <c r="F63" s="218" t="s">
        <v>211</v>
      </c>
      <c r="G63" s="221">
        <v>100</v>
      </c>
      <c r="H63" s="221">
        <v>100</v>
      </c>
      <c r="I63" s="222"/>
      <c r="J63" s="223"/>
      <c r="L63" s="103"/>
      <c r="M63" s="103"/>
      <c r="N63" s="103"/>
    </row>
    <row r="64" spans="1:14" ht="23.25" customHeight="1">
      <c r="A64" s="102"/>
      <c r="B64" s="47" t="s">
        <v>89</v>
      </c>
      <c r="C64" s="53" t="s">
        <v>199</v>
      </c>
      <c r="D64" s="49" t="s">
        <v>207</v>
      </c>
      <c r="E64" s="53" t="s">
        <v>199</v>
      </c>
      <c r="F64" s="49" t="s">
        <v>207</v>
      </c>
      <c r="G64" s="50">
        <v>100</v>
      </c>
      <c r="H64" s="50">
        <v>100</v>
      </c>
      <c r="I64" s="46"/>
      <c r="J64" s="74"/>
      <c r="L64" s="103"/>
      <c r="M64" s="103"/>
      <c r="N64" s="103"/>
    </row>
    <row r="65" spans="1:14" ht="26.25" customHeight="1">
      <c r="A65" s="102"/>
      <c r="B65" s="47" t="s">
        <v>90</v>
      </c>
      <c r="C65" s="54" t="s">
        <v>199</v>
      </c>
      <c r="D65" s="49" t="s">
        <v>210</v>
      </c>
      <c r="E65" s="54" t="s">
        <v>199</v>
      </c>
      <c r="F65" s="49" t="s">
        <v>210</v>
      </c>
      <c r="G65" s="50">
        <v>100</v>
      </c>
      <c r="H65" s="50">
        <v>100</v>
      </c>
      <c r="I65" s="46"/>
      <c r="J65" s="74"/>
      <c r="L65" s="103"/>
      <c r="M65" s="103"/>
      <c r="N65" s="103"/>
    </row>
    <row r="66" spans="1:14" ht="60" customHeight="1">
      <c r="A66" s="102"/>
      <c r="B66" s="47" t="s">
        <v>91</v>
      </c>
      <c r="C66" s="54" t="s">
        <v>210</v>
      </c>
      <c r="D66" s="49" t="s">
        <v>207</v>
      </c>
      <c r="E66" s="54" t="s">
        <v>210</v>
      </c>
      <c r="F66" s="49" t="s">
        <v>207</v>
      </c>
      <c r="G66" s="50">
        <v>100</v>
      </c>
      <c r="H66" s="50">
        <v>100</v>
      </c>
      <c r="I66" s="46"/>
      <c r="J66" s="74"/>
      <c r="L66" s="103"/>
      <c r="M66" s="103"/>
      <c r="N66" s="103"/>
    </row>
    <row r="67" spans="1:14" ht="24" customHeight="1">
      <c r="A67" s="102"/>
      <c r="B67" s="47" t="s">
        <v>92</v>
      </c>
      <c r="C67" s="54" t="s">
        <v>207</v>
      </c>
      <c r="D67" s="49" t="s">
        <v>207</v>
      </c>
      <c r="E67" s="54" t="s">
        <v>207</v>
      </c>
      <c r="F67" s="49" t="s">
        <v>207</v>
      </c>
      <c r="G67" s="50">
        <v>100</v>
      </c>
      <c r="H67" s="50">
        <v>100</v>
      </c>
      <c r="I67" s="46"/>
      <c r="J67" s="74"/>
      <c r="L67" s="103"/>
      <c r="M67" s="103"/>
      <c r="N67" s="103"/>
    </row>
    <row r="68" spans="1:14" ht="24" customHeight="1">
      <c r="A68" s="289" t="s">
        <v>221</v>
      </c>
      <c r="B68" s="246" t="s">
        <v>223</v>
      </c>
      <c r="C68" s="218" t="s">
        <v>197</v>
      </c>
      <c r="D68" s="218" t="s">
        <v>211</v>
      </c>
      <c r="E68" s="218" t="s">
        <v>197</v>
      </c>
      <c r="F68" s="218" t="s">
        <v>211</v>
      </c>
      <c r="G68" s="221">
        <v>100</v>
      </c>
      <c r="H68" s="221">
        <v>100</v>
      </c>
      <c r="I68" s="222"/>
      <c r="J68" s="223"/>
      <c r="L68" s="103"/>
      <c r="M68" s="103"/>
      <c r="N68" s="103"/>
    </row>
    <row r="69" spans="1:14" ht="24" customHeight="1">
      <c r="A69" s="102"/>
      <c r="B69" s="47" t="s">
        <v>89</v>
      </c>
      <c r="C69" s="53" t="s">
        <v>199</v>
      </c>
      <c r="D69" s="49" t="s">
        <v>207</v>
      </c>
      <c r="E69" s="53" t="s">
        <v>199</v>
      </c>
      <c r="F69" s="49" t="s">
        <v>207</v>
      </c>
      <c r="G69" s="50">
        <v>100</v>
      </c>
      <c r="H69" s="50">
        <v>100</v>
      </c>
      <c r="I69" s="46"/>
      <c r="J69" s="74"/>
      <c r="L69" s="103"/>
      <c r="M69" s="103"/>
      <c r="N69" s="103"/>
    </row>
    <row r="70" spans="1:14" ht="24" customHeight="1">
      <c r="A70" s="102"/>
      <c r="B70" s="47" t="s">
        <v>90</v>
      </c>
      <c r="C70" s="54" t="s">
        <v>199</v>
      </c>
      <c r="D70" s="49" t="s">
        <v>210</v>
      </c>
      <c r="E70" s="54" t="s">
        <v>199</v>
      </c>
      <c r="F70" s="49" t="s">
        <v>210</v>
      </c>
      <c r="G70" s="50">
        <v>100</v>
      </c>
      <c r="H70" s="50">
        <v>100</v>
      </c>
      <c r="I70" s="46"/>
      <c r="J70" s="74"/>
      <c r="L70" s="103"/>
      <c r="M70" s="103"/>
      <c r="N70" s="103"/>
    </row>
    <row r="71" spans="1:14" ht="49.5" customHeight="1">
      <c r="A71" s="102"/>
      <c r="B71" s="47" t="s">
        <v>91</v>
      </c>
      <c r="C71" s="54" t="s">
        <v>210</v>
      </c>
      <c r="D71" s="49" t="s">
        <v>207</v>
      </c>
      <c r="E71" s="54" t="s">
        <v>210</v>
      </c>
      <c r="F71" s="49" t="s">
        <v>207</v>
      </c>
      <c r="G71" s="50">
        <v>100</v>
      </c>
      <c r="H71" s="50">
        <v>100</v>
      </c>
      <c r="I71" s="46"/>
      <c r="J71" s="74"/>
      <c r="L71" s="103"/>
      <c r="M71" s="103"/>
      <c r="N71" s="103"/>
    </row>
    <row r="72" spans="1:14" ht="24" customHeight="1">
      <c r="A72" s="102"/>
      <c r="B72" s="47" t="s">
        <v>92</v>
      </c>
      <c r="C72" s="54" t="s">
        <v>207</v>
      </c>
      <c r="D72" s="49" t="s">
        <v>207</v>
      </c>
      <c r="E72" s="54" t="s">
        <v>207</v>
      </c>
      <c r="F72" s="49" t="s">
        <v>207</v>
      </c>
      <c r="G72" s="50">
        <v>100</v>
      </c>
      <c r="H72" s="50">
        <v>100</v>
      </c>
      <c r="I72" s="46"/>
      <c r="J72" s="74"/>
      <c r="L72" s="103"/>
      <c r="M72" s="103"/>
      <c r="N72" s="103"/>
    </row>
    <row r="73" spans="1:14" ht="24" customHeight="1">
      <c r="A73" s="290"/>
      <c r="B73" s="291"/>
      <c r="C73" s="292"/>
      <c r="D73" s="292"/>
      <c r="E73" s="292"/>
      <c r="F73" s="292"/>
      <c r="G73" s="293"/>
      <c r="H73" s="293"/>
      <c r="I73" s="294"/>
      <c r="J73" s="295"/>
      <c r="L73" s="103"/>
      <c r="M73" s="103"/>
      <c r="N73" s="103"/>
    </row>
    <row r="74" spans="1:14" ht="24" customHeight="1">
      <c r="A74" s="290"/>
      <c r="B74" s="291"/>
      <c r="C74" s="292"/>
      <c r="D74" s="292"/>
      <c r="E74" s="292"/>
      <c r="F74" s="292"/>
      <c r="G74" s="293"/>
      <c r="H74" s="293"/>
      <c r="I74" s="294"/>
      <c r="J74" s="295"/>
      <c r="L74" s="103"/>
      <c r="M74" s="103"/>
      <c r="N74" s="103"/>
    </row>
    <row r="75" spans="1:10" ht="34.5" customHeight="1">
      <c r="A75" s="604" t="s">
        <v>102</v>
      </c>
      <c r="B75" s="604" t="s">
        <v>81</v>
      </c>
      <c r="C75" s="604" t="s">
        <v>82</v>
      </c>
      <c r="D75" s="604"/>
      <c r="E75" s="604"/>
      <c r="F75" s="604"/>
      <c r="G75" s="606" t="s">
        <v>83</v>
      </c>
      <c r="H75" s="606" t="s">
        <v>51</v>
      </c>
      <c r="I75" s="604" t="s">
        <v>84</v>
      </c>
      <c r="J75" s="604" t="s">
        <v>52</v>
      </c>
    </row>
    <row r="76" spans="1:10" ht="15.75">
      <c r="A76" s="604"/>
      <c r="B76" s="604"/>
      <c r="C76" s="604" t="s">
        <v>85</v>
      </c>
      <c r="D76" s="604"/>
      <c r="E76" s="604" t="s">
        <v>86</v>
      </c>
      <c r="F76" s="604"/>
      <c r="G76" s="606"/>
      <c r="H76" s="606"/>
      <c r="I76" s="604"/>
      <c r="J76" s="604"/>
    </row>
    <row r="77" spans="1:14" ht="67.5" customHeight="1">
      <c r="A77" s="604"/>
      <c r="B77" s="604"/>
      <c r="C77" s="44" t="s">
        <v>87</v>
      </c>
      <c r="D77" s="44" t="s">
        <v>88</v>
      </c>
      <c r="E77" s="44" t="s">
        <v>87</v>
      </c>
      <c r="F77" s="44" t="s">
        <v>88</v>
      </c>
      <c r="G77" s="606"/>
      <c r="H77" s="606"/>
      <c r="I77" s="604"/>
      <c r="J77" s="604"/>
      <c r="L77" s="103"/>
      <c r="M77" s="103"/>
      <c r="N77" s="103"/>
    </row>
    <row r="78" spans="1:14" ht="33" customHeight="1">
      <c r="A78" s="224">
        <v>9</v>
      </c>
      <c r="B78" s="246" t="s">
        <v>148</v>
      </c>
      <c r="C78" s="218" t="s">
        <v>197</v>
      </c>
      <c r="D78" s="218" t="s">
        <v>209</v>
      </c>
      <c r="E78" s="219"/>
      <c r="F78" s="220"/>
      <c r="G78" s="221">
        <v>15</v>
      </c>
      <c r="H78" s="221">
        <v>15</v>
      </c>
      <c r="I78" s="222"/>
      <c r="J78" s="223"/>
      <c r="L78" s="103"/>
      <c r="M78" s="103"/>
      <c r="N78" s="103"/>
    </row>
    <row r="79" spans="1:14" ht="25.5" customHeight="1">
      <c r="A79" s="102"/>
      <c r="B79" s="47" t="s">
        <v>89</v>
      </c>
      <c r="C79" s="53" t="s">
        <v>199</v>
      </c>
      <c r="D79" s="49" t="s">
        <v>202</v>
      </c>
      <c r="E79" s="53" t="s">
        <v>199</v>
      </c>
      <c r="F79" s="49"/>
      <c r="G79" s="50">
        <v>50</v>
      </c>
      <c r="H79" s="50">
        <v>50</v>
      </c>
      <c r="I79" s="46"/>
      <c r="J79" s="74"/>
      <c r="L79" s="103"/>
      <c r="M79" s="103"/>
      <c r="N79" s="103"/>
    </row>
    <row r="80" spans="1:14" ht="20.25" customHeight="1">
      <c r="A80" s="102"/>
      <c r="B80" s="47" t="s">
        <v>90</v>
      </c>
      <c r="C80" s="54" t="s">
        <v>200</v>
      </c>
      <c r="D80" s="49" t="s">
        <v>203</v>
      </c>
      <c r="E80" s="48"/>
      <c r="F80" s="49"/>
      <c r="G80" s="50">
        <v>0</v>
      </c>
      <c r="H80" s="50">
        <v>0</v>
      </c>
      <c r="I80" s="46"/>
      <c r="J80" s="74"/>
      <c r="L80" s="103"/>
      <c r="M80" s="103"/>
      <c r="N80" s="103"/>
    </row>
    <row r="81" spans="1:14" ht="60" customHeight="1">
      <c r="A81" s="102"/>
      <c r="B81" s="47" t="s">
        <v>91</v>
      </c>
      <c r="C81" s="54" t="s">
        <v>205</v>
      </c>
      <c r="D81" s="49" t="s">
        <v>202</v>
      </c>
      <c r="E81" s="48"/>
      <c r="F81" s="49"/>
      <c r="G81" s="50">
        <v>0</v>
      </c>
      <c r="H81" s="50">
        <v>0</v>
      </c>
      <c r="I81" s="46"/>
      <c r="J81" s="74"/>
      <c r="L81" s="103"/>
      <c r="M81" s="103"/>
      <c r="N81" s="103"/>
    </row>
    <row r="82" spans="1:14" ht="24" customHeight="1">
      <c r="A82" s="102"/>
      <c r="B82" s="47" t="s">
        <v>92</v>
      </c>
      <c r="C82" s="54" t="s">
        <v>202</v>
      </c>
      <c r="D82" s="49" t="s">
        <v>202</v>
      </c>
      <c r="E82" s="48"/>
      <c r="F82" s="49"/>
      <c r="G82" s="50">
        <v>0</v>
      </c>
      <c r="H82" s="50">
        <v>0</v>
      </c>
      <c r="I82" s="46"/>
      <c r="J82" s="74"/>
      <c r="L82" s="103"/>
      <c r="M82" s="103"/>
      <c r="N82" s="103"/>
    </row>
    <row r="83" spans="1:14" ht="15.75">
      <c r="A83" s="102"/>
      <c r="B83" s="12" t="s">
        <v>124</v>
      </c>
      <c r="C83" s="54"/>
      <c r="D83" s="49"/>
      <c r="E83" s="49"/>
      <c r="F83" s="49"/>
      <c r="G83" s="50"/>
      <c r="H83" s="50"/>
      <c r="I83" s="46"/>
      <c r="J83" s="74"/>
      <c r="L83" s="103"/>
      <c r="M83" s="103"/>
      <c r="N83" s="103"/>
    </row>
    <row r="84" spans="1:14" ht="31.5">
      <c r="A84" s="71">
        <v>10</v>
      </c>
      <c r="B84" s="12" t="s">
        <v>193</v>
      </c>
      <c r="C84" s="247" t="s">
        <v>197</v>
      </c>
      <c r="D84" s="247" t="s">
        <v>198</v>
      </c>
      <c r="E84" s="247" t="s">
        <v>197</v>
      </c>
      <c r="F84" s="52" t="s">
        <v>61</v>
      </c>
      <c r="G84" s="221">
        <v>30</v>
      </c>
      <c r="H84" s="221">
        <v>30</v>
      </c>
      <c r="I84" s="46" t="s">
        <v>61</v>
      </c>
      <c r="J84" s="74"/>
      <c r="L84" s="103"/>
      <c r="M84" s="103"/>
      <c r="N84" s="103"/>
    </row>
    <row r="85" spans="1:14" ht="24.75" customHeight="1">
      <c r="A85" s="72"/>
      <c r="B85" s="47" t="s">
        <v>89</v>
      </c>
      <c r="C85" s="53" t="s">
        <v>199</v>
      </c>
      <c r="D85" s="49" t="s">
        <v>206</v>
      </c>
      <c r="E85" s="53" t="s">
        <v>199</v>
      </c>
      <c r="F85" s="49" t="s">
        <v>61</v>
      </c>
      <c r="G85" s="50">
        <v>70</v>
      </c>
      <c r="H85" s="50">
        <v>70</v>
      </c>
      <c r="I85" s="46" t="s">
        <v>61</v>
      </c>
      <c r="J85" s="74"/>
      <c r="L85" s="103"/>
      <c r="M85" s="103"/>
      <c r="N85" s="103"/>
    </row>
    <row r="86" spans="1:14" ht="20.25" customHeight="1">
      <c r="A86" s="72"/>
      <c r="B86" s="47" t="s">
        <v>90</v>
      </c>
      <c r="C86" s="53" t="s">
        <v>199</v>
      </c>
      <c r="D86" s="49" t="s">
        <v>206</v>
      </c>
      <c r="E86" s="53" t="s">
        <v>199</v>
      </c>
      <c r="F86" s="49" t="s">
        <v>61</v>
      </c>
      <c r="G86" s="50">
        <v>20</v>
      </c>
      <c r="H86" s="50">
        <v>20</v>
      </c>
      <c r="I86" s="46" t="s">
        <v>61</v>
      </c>
      <c r="J86" s="74"/>
      <c r="L86" s="103"/>
      <c r="M86" s="103"/>
      <c r="N86" s="103"/>
    </row>
    <row r="87" spans="1:14" ht="54" customHeight="1">
      <c r="A87" s="72"/>
      <c r="B87" s="47" t="s">
        <v>91</v>
      </c>
      <c r="C87" s="53" t="s">
        <v>199</v>
      </c>
      <c r="D87" s="49" t="s">
        <v>206</v>
      </c>
      <c r="E87" s="53" t="s">
        <v>199</v>
      </c>
      <c r="F87" s="49" t="s">
        <v>61</v>
      </c>
      <c r="G87" s="50">
        <v>20</v>
      </c>
      <c r="H87" s="50">
        <v>20</v>
      </c>
      <c r="I87" s="46" t="s">
        <v>61</v>
      </c>
      <c r="J87" s="74"/>
      <c r="L87" s="103"/>
      <c r="M87" s="103"/>
      <c r="N87" s="103"/>
    </row>
    <row r="88" spans="1:14" ht="26.25" customHeight="1">
      <c r="A88" s="72"/>
      <c r="B88" s="47" t="s">
        <v>92</v>
      </c>
      <c r="C88" s="53" t="s">
        <v>199</v>
      </c>
      <c r="D88" s="49" t="s">
        <v>206</v>
      </c>
      <c r="E88" s="53" t="s">
        <v>199</v>
      </c>
      <c r="F88" s="49" t="s">
        <v>61</v>
      </c>
      <c r="G88" s="50">
        <v>20</v>
      </c>
      <c r="H88" s="50">
        <v>20</v>
      </c>
      <c r="I88" s="46" t="s">
        <v>61</v>
      </c>
      <c r="J88" s="74"/>
      <c r="L88" s="103"/>
      <c r="M88" s="103"/>
      <c r="N88" s="103"/>
    </row>
    <row r="89" spans="1:14" ht="31.5">
      <c r="A89" s="217">
        <v>11</v>
      </c>
      <c r="B89" s="245" t="s">
        <v>158</v>
      </c>
      <c r="C89" s="248" t="s">
        <v>197</v>
      </c>
      <c r="D89" s="248" t="s">
        <v>198</v>
      </c>
      <c r="E89" s="248" t="s">
        <v>197</v>
      </c>
      <c r="F89" s="221" t="s">
        <v>61</v>
      </c>
      <c r="G89" s="221">
        <v>30</v>
      </c>
      <c r="H89" s="221">
        <v>30</v>
      </c>
      <c r="I89" s="222" t="s">
        <v>61</v>
      </c>
      <c r="J89" s="223"/>
      <c r="L89" s="103"/>
      <c r="M89" s="103"/>
      <c r="N89" s="103"/>
    </row>
    <row r="90" spans="1:14" ht="21" customHeight="1">
      <c r="A90" s="72"/>
      <c r="B90" s="47" t="s">
        <v>89</v>
      </c>
      <c r="C90" s="53" t="s">
        <v>199</v>
      </c>
      <c r="D90" s="49" t="s">
        <v>206</v>
      </c>
      <c r="E90" s="53" t="s">
        <v>199</v>
      </c>
      <c r="F90" s="49" t="s">
        <v>61</v>
      </c>
      <c r="G90" s="50">
        <v>70</v>
      </c>
      <c r="H90" s="50">
        <v>70</v>
      </c>
      <c r="I90" s="46" t="s">
        <v>61</v>
      </c>
      <c r="J90" s="74"/>
      <c r="L90" s="103"/>
      <c r="M90" s="103"/>
      <c r="N90" s="103"/>
    </row>
    <row r="91" spans="1:14" ht="21" customHeight="1">
      <c r="A91" s="72"/>
      <c r="B91" s="47" t="s">
        <v>90</v>
      </c>
      <c r="C91" s="53" t="s">
        <v>199</v>
      </c>
      <c r="D91" s="49" t="s">
        <v>206</v>
      </c>
      <c r="E91" s="53" t="s">
        <v>199</v>
      </c>
      <c r="F91" s="49" t="s">
        <v>61</v>
      </c>
      <c r="G91" s="50">
        <v>20</v>
      </c>
      <c r="H91" s="50">
        <v>20</v>
      </c>
      <c r="I91" s="46" t="s">
        <v>61</v>
      </c>
      <c r="J91" s="74"/>
      <c r="L91" s="103"/>
      <c r="M91" s="103"/>
      <c r="N91" s="103"/>
    </row>
    <row r="92" spans="1:14" ht="47.25">
      <c r="A92" s="72"/>
      <c r="B92" s="47" t="s">
        <v>91</v>
      </c>
      <c r="C92" s="53" t="s">
        <v>199</v>
      </c>
      <c r="D92" s="49" t="s">
        <v>206</v>
      </c>
      <c r="E92" s="53" t="s">
        <v>199</v>
      </c>
      <c r="F92" s="49" t="s">
        <v>61</v>
      </c>
      <c r="G92" s="50">
        <v>20</v>
      </c>
      <c r="H92" s="50">
        <v>20</v>
      </c>
      <c r="I92" s="46" t="s">
        <v>61</v>
      </c>
      <c r="J92" s="74"/>
      <c r="L92" s="103"/>
      <c r="M92" s="103"/>
      <c r="N92" s="103"/>
    </row>
    <row r="93" spans="1:14" ht="20.25" customHeight="1">
      <c r="A93" s="72"/>
      <c r="B93" s="47" t="s">
        <v>92</v>
      </c>
      <c r="C93" s="53" t="s">
        <v>199</v>
      </c>
      <c r="D93" s="49" t="s">
        <v>206</v>
      </c>
      <c r="E93" s="53" t="s">
        <v>199</v>
      </c>
      <c r="F93" s="49" t="s">
        <v>61</v>
      </c>
      <c r="G93" s="50">
        <v>20</v>
      </c>
      <c r="H93" s="50">
        <v>20</v>
      </c>
      <c r="I93" s="46" t="s">
        <v>61</v>
      </c>
      <c r="J93" s="74"/>
      <c r="L93" s="103"/>
      <c r="M93" s="103"/>
      <c r="N93" s="103"/>
    </row>
    <row r="94" spans="1:14" ht="18" customHeight="1">
      <c r="A94" s="228"/>
      <c r="B94" s="236" t="s">
        <v>118</v>
      </c>
      <c r="C94" s="230"/>
      <c r="D94" s="231"/>
      <c r="E94" s="232"/>
      <c r="F94" s="231"/>
      <c r="G94" s="233"/>
      <c r="H94" s="233"/>
      <c r="I94" s="234"/>
      <c r="J94" s="235"/>
      <c r="L94" s="103"/>
      <c r="M94" s="103"/>
      <c r="N94" s="103"/>
    </row>
    <row r="95" spans="1:10" ht="30" customHeight="1">
      <c r="A95" s="227" t="s">
        <v>172</v>
      </c>
      <c r="B95" s="244" t="s">
        <v>160</v>
      </c>
      <c r="C95" s="248" t="s">
        <v>197</v>
      </c>
      <c r="D95" s="248" t="s">
        <v>198</v>
      </c>
      <c r="E95" s="248" t="s">
        <v>197</v>
      </c>
      <c r="F95" s="221"/>
      <c r="G95" s="221">
        <v>15</v>
      </c>
      <c r="H95" s="221">
        <v>15</v>
      </c>
      <c r="I95" s="222" t="s">
        <v>61</v>
      </c>
      <c r="J95" s="223"/>
    </row>
    <row r="96" spans="1:14" ht="31.5" customHeight="1">
      <c r="A96" s="72"/>
      <c r="B96" s="47" t="s">
        <v>89</v>
      </c>
      <c r="C96" s="53" t="s">
        <v>199</v>
      </c>
      <c r="D96" s="49" t="s">
        <v>206</v>
      </c>
      <c r="E96" s="53" t="s">
        <v>199</v>
      </c>
      <c r="F96" s="49"/>
      <c r="G96" s="50">
        <v>50</v>
      </c>
      <c r="H96" s="50">
        <v>50</v>
      </c>
      <c r="I96" s="46" t="s">
        <v>61</v>
      </c>
      <c r="J96" s="74"/>
      <c r="L96" s="103"/>
      <c r="M96" s="103"/>
      <c r="N96" s="103"/>
    </row>
    <row r="97" spans="1:14" ht="30" customHeight="1">
      <c r="A97" s="72"/>
      <c r="B97" s="47" t="s">
        <v>90</v>
      </c>
      <c r="C97" s="53" t="s">
        <v>199</v>
      </c>
      <c r="D97" s="49" t="s">
        <v>206</v>
      </c>
      <c r="E97" s="53" t="s">
        <v>199</v>
      </c>
      <c r="F97" s="49"/>
      <c r="G97" s="50">
        <v>0</v>
      </c>
      <c r="H97" s="50">
        <v>0</v>
      </c>
      <c r="I97" s="46" t="s">
        <v>61</v>
      </c>
      <c r="J97" s="74"/>
      <c r="L97" s="103"/>
      <c r="M97" s="103"/>
      <c r="N97" s="103"/>
    </row>
    <row r="98" spans="1:10" ht="34.5" customHeight="1">
      <c r="A98" s="604" t="s">
        <v>102</v>
      </c>
      <c r="B98" s="604" t="s">
        <v>81</v>
      </c>
      <c r="C98" s="604" t="s">
        <v>82</v>
      </c>
      <c r="D98" s="604"/>
      <c r="E98" s="604"/>
      <c r="F98" s="604"/>
      <c r="G98" s="606" t="s">
        <v>83</v>
      </c>
      <c r="H98" s="606" t="s">
        <v>51</v>
      </c>
      <c r="I98" s="604" t="s">
        <v>84</v>
      </c>
      <c r="J98" s="604" t="s">
        <v>52</v>
      </c>
    </row>
    <row r="99" spans="1:10" ht="15.75">
      <c r="A99" s="604"/>
      <c r="B99" s="604"/>
      <c r="C99" s="604" t="s">
        <v>85</v>
      </c>
      <c r="D99" s="604"/>
      <c r="E99" s="604" t="s">
        <v>86</v>
      </c>
      <c r="F99" s="604"/>
      <c r="G99" s="606"/>
      <c r="H99" s="606"/>
      <c r="I99" s="604"/>
      <c r="J99" s="604"/>
    </row>
    <row r="100" spans="1:14" ht="67.5" customHeight="1">
      <c r="A100" s="604"/>
      <c r="B100" s="604"/>
      <c r="C100" s="44" t="s">
        <v>87</v>
      </c>
      <c r="D100" s="44" t="s">
        <v>88</v>
      </c>
      <c r="E100" s="44" t="s">
        <v>87</v>
      </c>
      <c r="F100" s="44" t="s">
        <v>88</v>
      </c>
      <c r="G100" s="606"/>
      <c r="H100" s="606"/>
      <c r="I100" s="604"/>
      <c r="J100" s="604"/>
      <c r="L100" s="103"/>
      <c r="M100" s="103"/>
      <c r="N100" s="103"/>
    </row>
    <row r="101" spans="1:14" ht="53.25" customHeight="1">
      <c r="A101" s="72"/>
      <c r="B101" s="47" t="s">
        <v>91</v>
      </c>
      <c r="C101" s="53" t="s">
        <v>199</v>
      </c>
      <c r="D101" s="49" t="s">
        <v>206</v>
      </c>
      <c r="E101" s="53" t="s">
        <v>199</v>
      </c>
      <c r="F101" s="49"/>
      <c r="G101" s="50">
        <v>0</v>
      </c>
      <c r="H101" s="50">
        <v>0</v>
      </c>
      <c r="I101" s="46" t="s">
        <v>61</v>
      </c>
      <c r="J101" s="74"/>
      <c r="L101" s="103"/>
      <c r="M101" s="103"/>
      <c r="N101" s="103"/>
    </row>
    <row r="102" spans="1:14" ht="21" customHeight="1">
      <c r="A102" s="72"/>
      <c r="B102" s="47" t="s">
        <v>92</v>
      </c>
      <c r="C102" s="53" t="s">
        <v>199</v>
      </c>
      <c r="D102" s="49" t="s">
        <v>206</v>
      </c>
      <c r="E102" s="53" t="s">
        <v>199</v>
      </c>
      <c r="F102" s="49"/>
      <c r="G102" s="50">
        <v>0</v>
      </c>
      <c r="H102" s="50">
        <v>0</v>
      </c>
      <c r="I102" s="46" t="s">
        <v>61</v>
      </c>
      <c r="J102" s="74"/>
      <c r="L102" s="103"/>
      <c r="M102" s="103"/>
      <c r="N102" s="103"/>
    </row>
    <row r="103" spans="1:14" ht="20.25" customHeight="1">
      <c r="A103" s="228"/>
      <c r="B103" s="229" t="s">
        <v>110</v>
      </c>
      <c r="C103" s="230"/>
      <c r="D103" s="231"/>
      <c r="E103" s="232"/>
      <c r="F103" s="231"/>
      <c r="G103" s="233"/>
      <c r="H103" s="233"/>
      <c r="I103" s="234"/>
      <c r="J103" s="235"/>
      <c r="L103" s="103"/>
      <c r="M103" s="103"/>
      <c r="N103" s="103"/>
    </row>
    <row r="104" spans="1:14" ht="27" customHeight="1">
      <c r="A104" s="102">
        <v>13</v>
      </c>
      <c r="B104" s="12" t="s">
        <v>177</v>
      </c>
      <c r="C104" s="105" t="s">
        <v>197</v>
      </c>
      <c r="D104" s="105" t="s">
        <v>198</v>
      </c>
      <c r="E104" s="247" t="s">
        <v>197</v>
      </c>
      <c r="F104" s="49"/>
      <c r="G104" s="52">
        <v>30</v>
      </c>
      <c r="H104" s="52">
        <v>30</v>
      </c>
      <c r="I104" s="46"/>
      <c r="J104" s="74"/>
      <c r="L104" s="103"/>
      <c r="M104" s="103"/>
      <c r="N104" s="103"/>
    </row>
    <row r="105" spans="1:14" ht="20.25" customHeight="1">
      <c r="A105" s="102"/>
      <c r="B105" s="47" t="s">
        <v>89</v>
      </c>
      <c r="C105" s="53" t="s">
        <v>199</v>
      </c>
      <c r="D105" s="49" t="s">
        <v>206</v>
      </c>
      <c r="E105" s="53" t="s">
        <v>199</v>
      </c>
      <c r="F105" s="49"/>
      <c r="G105" s="50">
        <v>70</v>
      </c>
      <c r="H105" s="50">
        <v>70</v>
      </c>
      <c r="I105" s="46"/>
      <c r="J105" s="74"/>
      <c r="L105" s="103"/>
      <c r="M105" s="103"/>
      <c r="N105" s="103"/>
    </row>
    <row r="106" spans="1:14" ht="20.25" customHeight="1">
      <c r="A106" s="102"/>
      <c r="B106" s="47" t="s">
        <v>90</v>
      </c>
      <c r="C106" s="53" t="s">
        <v>199</v>
      </c>
      <c r="D106" s="49" t="s">
        <v>206</v>
      </c>
      <c r="E106" s="53" t="s">
        <v>199</v>
      </c>
      <c r="F106" s="49"/>
      <c r="G106" s="50">
        <v>20</v>
      </c>
      <c r="H106" s="50">
        <v>20</v>
      </c>
      <c r="I106" s="46"/>
      <c r="J106" s="74"/>
      <c r="L106" s="103"/>
      <c r="M106" s="103"/>
      <c r="N106" s="103"/>
    </row>
    <row r="107" spans="1:14" ht="52.5" customHeight="1">
      <c r="A107" s="102"/>
      <c r="B107" s="47" t="s">
        <v>91</v>
      </c>
      <c r="C107" s="53" t="s">
        <v>199</v>
      </c>
      <c r="D107" s="49" t="s">
        <v>206</v>
      </c>
      <c r="E107" s="53" t="s">
        <v>199</v>
      </c>
      <c r="F107" s="49"/>
      <c r="G107" s="50">
        <v>20</v>
      </c>
      <c r="H107" s="50">
        <v>20</v>
      </c>
      <c r="I107" s="46"/>
      <c r="J107" s="74"/>
      <c r="L107" s="103"/>
      <c r="M107" s="103"/>
      <c r="N107" s="103"/>
    </row>
    <row r="108" spans="1:14" ht="20.25" customHeight="1">
      <c r="A108" s="102"/>
      <c r="B108" s="47" t="s">
        <v>92</v>
      </c>
      <c r="C108" s="53" t="s">
        <v>199</v>
      </c>
      <c r="D108" s="49" t="s">
        <v>206</v>
      </c>
      <c r="E108" s="53" t="s">
        <v>199</v>
      </c>
      <c r="F108" s="49"/>
      <c r="G108" s="50">
        <v>20</v>
      </c>
      <c r="H108" s="50">
        <v>20</v>
      </c>
      <c r="I108" s="46"/>
      <c r="J108" s="74"/>
      <c r="L108" s="103"/>
      <c r="M108" s="103"/>
      <c r="N108" s="103"/>
    </row>
    <row r="109" spans="1:14" ht="33" customHeight="1">
      <c r="A109" s="224">
        <v>14</v>
      </c>
      <c r="B109" s="129" t="s">
        <v>176</v>
      </c>
      <c r="C109" s="248" t="s">
        <v>197</v>
      </c>
      <c r="D109" s="248" t="s">
        <v>198</v>
      </c>
      <c r="E109" s="248" t="s">
        <v>197</v>
      </c>
      <c r="F109" s="220"/>
      <c r="G109" s="225">
        <v>23</v>
      </c>
      <c r="H109" s="225">
        <f>G109</f>
        <v>23</v>
      </c>
      <c r="I109" s="222"/>
      <c r="J109" s="223"/>
      <c r="L109" s="103"/>
      <c r="M109" s="103"/>
      <c r="N109" s="103"/>
    </row>
    <row r="110" spans="1:14" ht="27" customHeight="1">
      <c r="A110" s="102"/>
      <c r="B110" s="47" t="s">
        <v>89</v>
      </c>
      <c r="C110" s="53" t="s">
        <v>199</v>
      </c>
      <c r="D110" s="49" t="s">
        <v>206</v>
      </c>
      <c r="E110" s="53" t="s">
        <v>199</v>
      </c>
      <c r="F110" s="49"/>
      <c r="G110" s="50">
        <v>60</v>
      </c>
      <c r="H110" s="50">
        <v>60</v>
      </c>
      <c r="I110" s="46"/>
      <c r="J110" s="74"/>
      <c r="L110" s="103"/>
      <c r="M110" s="103"/>
      <c r="N110" s="103"/>
    </row>
    <row r="111" spans="1:14" ht="26.25" customHeight="1">
      <c r="A111" s="102"/>
      <c r="B111" s="47" t="s">
        <v>90</v>
      </c>
      <c r="C111" s="53" t="s">
        <v>199</v>
      </c>
      <c r="D111" s="49" t="s">
        <v>206</v>
      </c>
      <c r="E111" s="53" t="s">
        <v>199</v>
      </c>
      <c r="F111" s="49"/>
      <c r="G111" s="50">
        <v>10</v>
      </c>
      <c r="H111" s="50">
        <v>10</v>
      </c>
      <c r="I111" s="46"/>
      <c r="J111" s="74"/>
      <c r="L111" s="103"/>
      <c r="M111" s="103"/>
      <c r="N111" s="103"/>
    </row>
    <row r="112" spans="1:14" ht="51" customHeight="1">
      <c r="A112" s="102"/>
      <c r="B112" s="47" t="s">
        <v>91</v>
      </c>
      <c r="C112" s="53" t="s">
        <v>199</v>
      </c>
      <c r="D112" s="49" t="s">
        <v>206</v>
      </c>
      <c r="E112" s="53" t="s">
        <v>199</v>
      </c>
      <c r="F112" s="49"/>
      <c r="G112" s="50">
        <v>10</v>
      </c>
      <c r="H112" s="50">
        <v>10</v>
      </c>
      <c r="I112" s="46"/>
      <c r="J112" s="74"/>
      <c r="L112" s="103"/>
      <c r="M112" s="103"/>
      <c r="N112" s="103"/>
    </row>
    <row r="113" spans="1:14" ht="33" customHeight="1">
      <c r="A113" s="102"/>
      <c r="B113" s="47" t="s">
        <v>92</v>
      </c>
      <c r="C113" s="53" t="s">
        <v>199</v>
      </c>
      <c r="D113" s="49" t="s">
        <v>206</v>
      </c>
      <c r="E113" s="49" t="s">
        <v>61</v>
      </c>
      <c r="F113" s="49"/>
      <c r="G113" s="50">
        <v>10</v>
      </c>
      <c r="H113" s="50">
        <v>10</v>
      </c>
      <c r="I113" s="46"/>
      <c r="J113" s="74"/>
      <c r="L113" s="103"/>
      <c r="M113" s="103"/>
      <c r="N113" s="103"/>
    </row>
    <row r="114" spans="1:14" ht="20.25" customHeight="1">
      <c r="A114" s="228"/>
      <c r="B114" s="229" t="s">
        <v>114</v>
      </c>
      <c r="C114" s="230"/>
      <c r="D114" s="231"/>
      <c r="E114" s="232"/>
      <c r="F114" s="231"/>
      <c r="G114" s="233"/>
      <c r="H114" s="233"/>
      <c r="I114" s="234"/>
      <c r="J114" s="235"/>
      <c r="L114" s="103"/>
      <c r="M114" s="103"/>
      <c r="N114" s="103"/>
    </row>
    <row r="115" spans="1:10" ht="26.25" customHeight="1">
      <c r="A115" s="224">
        <v>15</v>
      </c>
      <c r="B115" s="244" t="s">
        <v>179</v>
      </c>
      <c r="C115" s="248" t="s">
        <v>197</v>
      </c>
      <c r="D115" s="248" t="s">
        <v>198</v>
      </c>
      <c r="E115" s="248" t="s">
        <v>197</v>
      </c>
      <c r="F115" s="226"/>
      <c r="G115" s="221">
        <v>15</v>
      </c>
      <c r="H115" s="221">
        <v>15</v>
      </c>
      <c r="I115" s="222" t="s">
        <v>61</v>
      </c>
      <c r="J115" s="223"/>
    </row>
    <row r="116" spans="1:14" ht="22.5" customHeight="1">
      <c r="A116" s="72"/>
      <c r="B116" s="47" t="s">
        <v>89</v>
      </c>
      <c r="C116" s="53" t="s">
        <v>199</v>
      </c>
      <c r="D116" s="49" t="s">
        <v>206</v>
      </c>
      <c r="E116" s="53" t="s">
        <v>199</v>
      </c>
      <c r="F116" s="48"/>
      <c r="G116" s="50">
        <v>50</v>
      </c>
      <c r="H116" s="50">
        <v>50</v>
      </c>
      <c r="I116" s="46" t="s">
        <v>61</v>
      </c>
      <c r="J116" s="74"/>
      <c r="L116" s="103"/>
      <c r="M116" s="103"/>
      <c r="N116" s="103"/>
    </row>
    <row r="117" spans="1:14" ht="24.75" customHeight="1">
      <c r="A117" s="72"/>
      <c r="B117" s="47" t="s">
        <v>90</v>
      </c>
      <c r="C117" s="53" t="s">
        <v>199</v>
      </c>
      <c r="D117" s="49" t="s">
        <v>206</v>
      </c>
      <c r="E117" s="53" t="s">
        <v>199</v>
      </c>
      <c r="F117" s="49"/>
      <c r="G117" s="50">
        <v>0</v>
      </c>
      <c r="H117" s="50">
        <v>0</v>
      </c>
      <c r="I117" s="46" t="s">
        <v>61</v>
      </c>
      <c r="J117" s="74"/>
      <c r="L117" s="103"/>
      <c r="M117" s="103"/>
      <c r="N117" s="103"/>
    </row>
    <row r="118" spans="1:14" ht="55.5" customHeight="1">
      <c r="A118" s="72"/>
      <c r="B118" s="47" t="s">
        <v>91</v>
      </c>
      <c r="C118" s="53" t="s">
        <v>199</v>
      </c>
      <c r="D118" s="49" t="s">
        <v>206</v>
      </c>
      <c r="E118" s="53" t="s">
        <v>199</v>
      </c>
      <c r="F118" s="54"/>
      <c r="G118" s="50">
        <v>0</v>
      </c>
      <c r="H118" s="50">
        <v>0</v>
      </c>
      <c r="I118" s="46" t="s">
        <v>61</v>
      </c>
      <c r="J118" s="74"/>
      <c r="L118" s="103"/>
      <c r="M118" s="103"/>
      <c r="N118" s="103"/>
    </row>
    <row r="119" spans="1:14" ht="23.25" customHeight="1">
      <c r="A119" s="72"/>
      <c r="B119" s="47" t="s">
        <v>92</v>
      </c>
      <c r="C119" s="53" t="s">
        <v>199</v>
      </c>
      <c r="D119" s="49" t="s">
        <v>206</v>
      </c>
      <c r="E119" s="53" t="s">
        <v>199</v>
      </c>
      <c r="F119" s="49"/>
      <c r="G119" s="50">
        <v>0</v>
      </c>
      <c r="H119" s="50">
        <v>0</v>
      </c>
      <c r="I119" s="46" t="s">
        <v>61</v>
      </c>
      <c r="J119" s="74"/>
      <c r="L119" s="103"/>
      <c r="M119" s="103"/>
      <c r="N119" s="103"/>
    </row>
  </sheetData>
  <sheetProtection/>
  <mergeCells count="52">
    <mergeCell ref="J98:J100"/>
    <mergeCell ref="H75:H77"/>
    <mergeCell ref="I75:I77"/>
    <mergeCell ref="J75:J77"/>
    <mergeCell ref="H98:H100"/>
    <mergeCell ref="A75:A77"/>
    <mergeCell ref="B75:B77"/>
    <mergeCell ref="C75:F75"/>
    <mergeCell ref="I98:I100"/>
    <mergeCell ref="C99:D99"/>
    <mergeCell ref="E99:F99"/>
    <mergeCell ref="G98:G100"/>
    <mergeCell ref="G53:G55"/>
    <mergeCell ref="C54:D54"/>
    <mergeCell ref="E54:F54"/>
    <mergeCell ref="C76:D76"/>
    <mergeCell ref="E76:F76"/>
    <mergeCell ref="H53:H55"/>
    <mergeCell ref="I53:I55"/>
    <mergeCell ref="J53:J55"/>
    <mergeCell ref="A98:A100"/>
    <mergeCell ref="B98:B100"/>
    <mergeCell ref="C98:F98"/>
    <mergeCell ref="G75:G77"/>
    <mergeCell ref="A53:A55"/>
    <mergeCell ref="B53:B55"/>
    <mergeCell ref="C53:F53"/>
    <mergeCell ref="H32:H34"/>
    <mergeCell ref="I32:I34"/>
    <mergeCell ref="J32:J34"/>
    <mergeCell ref="C33:D33"/>
    <mergeCell ref="E33:F33"/>
    <mergeCell ref="A32:A34"/>
    <mergeCell ref="B32:B34"/>
    <mergeCell ref="C32:F32"/>
    <mergeCell ref="G32:G34"/>
    <mergeCell ref="I2:J2"/>
    <mergeCell ref="I13:I15"/>
    <mergeCell ref="A3:J3"/>
    <mergeCell ref="D4:G4"/>
    <mergeCell ref="I6:J6"/>
    <mergeCell ref="I8:J8"/>
    <mergeCell ref="I1:J1"/>
    <mergeCell ref="C14:D14"/>
    <mergeCell ref="E14:F14"/>
    <mergeCell ref="C13:F13"/>
    <mergeCell ref="A10:J10"/>
    <mergeCell ref="H13:H15"/>
    <mergeCell ref="J13:J15"/>
    <mergeCell ref="A13:A15"/>
    <mergeCell ref="B13:B15"/>
    <mergeCell ref="G13:G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5 B95 B109">
      <formula1>900</formula1>
    </dataValidation>
  </dataValidations>
  <printOptions/>
  <pageMargins left="0.7874015748031497" right="0.7874015748031497" top="0.984251968503937" bottom="0.3937007874015748" header="0" footer="0"/>
  <pageSetup fitToHeight="4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51" sqref="K5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2015-07-22T02:24:59Z</cp:lastPrinted>
  <dcterms:created xsi:type="dcterms:W3CDTF">2012-08-16T01:15:55Z</dcterms:created>
  <dcterms:modified xsi:type="dcterms:W3CDTF">2015-07-22T05:22:16Z</dcterms:modified>
  <cp:category/>
  <cp:version/>
  <cp:contentType/>
  <cp:contentStatus/>
</cp:coreProperties>
</file>