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780" tabRatio="432" activeTab="0"/>
  </bookViews>
  <sheets>
    <sheet name="титул ПРОЕКТНЫЕ" sheetId="1" r:id="rId1"/>
    <sheet name="тит  спи к строек 2017 г." sheetId="2" r:id="rId2"/>
    <sheet name="титульный список строек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<sst xmlns="http://schemas.openxmlformats.org/spreadsheetml/2006/main" count="2388" uniqueCount="322">
  <si>
    <t>№</t>
  </si>
  <si>
    <t>Наименование</t>
  </si>
  <si>
    <t>КЛ – 6 кВ (км)</t>
  </si>
  <si>
    <t>ВЛ – 0,4 кВ (км)</t>
  </si>
  <si>
    <t>КЛ – 0,4 кВ (км)</t>
  </si>
  <si>
    <t>-</t>
  </si>
  <si>
    <t>Проектные работы</t>
  </si>
  <si>
    <t>ВЛ – 6 кВ (км)</t>
  </si>
  <si>
    <t>КТПН (шт)</t>
  </si>
  <si>
    <t>5</t>
  </si>
  <si>
    <t>0/</t>
  </si>
  <si>
    <t>ТП,ЦРП (шт)</t>
  </si>
  <si>
    <t xml:space="preserve">Объем строительства </t>
  </si>
  <si>
    <t>Марка кабеля (провода), мощность тра-ра (кВА)</t>
  </si>
  <si>
    <t>Стоимость строительства объекта (рублей) без НДС</t>
  </si>
  <si>
    <t>160 кВА</t>
  </si>
  <si>
    <t>СИП3 1х70</t>
  </si>
  <si>
    <t>АВБбШв - 3х185</t>
  </si>
  <si>
    <t>100 кВА</t>
  </si>
  <si>
    <t>АВБбШв - 4х50</t>
  </si>
  <si>
    <t>Строительство ВЛ – 6 кВ от п/ст «Красная» до проектируемой КТПН 250 кВа  №№ 1,2.3</t>
  </si>
  <si>
    <t>Строительство ВЛ – 6 кВ от  п/с  «ПТО» ф.13 до проектируемой КТПН 250 кВа  №№ 4,5,6</t>
  </si>
  <si>
    <t>Строительство соединительной ВЛ – 6 кВ между КТПН № 1 – 9</t>
  </si>
  <si>
    <t xml:space="preserve">Строительство ВЛИ – 0,4 кВ от КТПН до земельных участков </t>
  </si>
  <si>
    <t>Монтаж  КТПН 2х250 кВА  
 № 7,  проходная</t>
  </si>
  <si>
    <t>Монтаж  КТПН 2х250   кВА
№ 8, тупиковая</t>
  </si>
  <si>
    <t>Монтаж  КТПН 250  кВА
№ 9, тупиковая</t>
  </si>
  <si>
    <t>Монтаж  КТПН 250 кВА  
№ 2, тупиковая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</si>
  <si>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</si>
  <si>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</si>
  <si>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</si>
  <si>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</si>
  <si>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</si>
  <si>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</si>
  <si>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</si>
  <si>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</si>
  <si>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</si>
  <si>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</si>
  <si>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</si>
  <si>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</si>
  <si>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</si>
  <si>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Строительство ВЛ-6 кВ от существующей опоры ВЛ-6 кВ «ф.3 ЦРП-29»</t>
  </si>
  <si>
    <t>Монтаж КТПН «Модуль» 2х1000 кВА пр. Октябрьский – пр. Мира</t>
  </si>
  <si>
    <t>Строительство КЛ – 6 кВ от ЦРП-1 до КТПН «Модуль» 2х1000 кВа</t>
  </si>
  <si>
    <t>Строительство КЛ – 6 кВ от п/ст «Береговая» до КТПН «Модуль»</t>
  </si>
  <si>
    <t>Строительство КЛ – 6 кВ от ТП-94 до КТПН «Модуль» 2х630 кВА</t>
  </si>
  <si>
    <t>Строительство КЛ – 6 кВ от ТП-236 до КТПН «Модуль» 2х630 кВА</t>
  </si>
  <si>
    <t>Строительство КЛ – 6 кВ от ТП-281 до КТПН 2х100 кВА</t>
  </si>
  <si>
    <t>Строительство КЛ – 6 кВ от ТП-225 до КТПН 2х100 кВА</t>
  </si>
  <si>
    <t>Строительство КЛ – 6 кВ от КТПН – 294 до КТПН 100 кВА</t>
  </si>
  <si>
    <t>Строительство ВЛ-6кВ от существующей опоры ВЛ-6кВ ф.5 п/ст «Ц» - ТП-411»</t>
  </si>
  <si>
    <t>Строительство КЛ – 6 кВ от ТП-556 до КТПН 2х250 кВА</t>
  </si>
  <si>
    <t>Строительство КЛ –  6 кВ от ЦРП – 35 до КТПН 2х250 кВА</t>
  </si>
  <si>
    <t>Строительство КЛ – 0,4 кВ от ТП – 184</t>
  </si>
  <si>
    <t>Строительство КЛ – 0,4 кВ от ТП – 227</t>
  </si>
  <si>
    <t>Строительство КЛ – 0,4 кВ от ТП – 208</t>
  </si>
  <si>
    <t>Строительство КЛ – 0,4 кВ от ТП – 491</t>
  </si>
  <si>
    <t>Строительство ВЛИ – 0,4 кВ от ТП – 502</t>
  </si>
  <si>
    <t>Строительство ВЛИ – 0,4 кВ от ТП – 234</t>
  </si>
  <si>
    <t>до 15 кВт</t>
  </si>
  <si>
    <t>Монтаж КТПН 250 кВА 
Северное шоссе, 10/3</t>
  </si>
  <si>
    <t>Монтаж КТПН «Модуль» 2х630 кВА 
пр. Интернациональный</t>
  </si>
  <si>
    <t>Монтаж КТПН 2х100 кВА 
ул. Пирогова</t>
  </si>
  <si>
    <t>Монтаж КТПН 160 кВА 
ул. Уральская</t>
  </si>
  <si>
    <t>Монтаж КТПН 100 кВА
ул. Чапаева – пр. Ленина</t>
  </si>
  <si>
    <t>Монтаж КТПН 2х250 кВА  
пр. Победы</t>
  </si>
  <si>
    <t>Монтаж КТПН 160 кВА 
ул. Гагарина 10/2</t>
  </si>
  <si>
    <t>Строительство ВЛИ – 0,4 кВ от существующей опоры ВЛ-0,4 кВ ТП – 315</t>
  </si>
  <si>
    <t>Строительство ВЛИ – 0,4 кВ от существующей опоры ВЛ-0,4 кВ ТП – 316</t>
  </si>
  <si>
    <t>Строительство ВЛИ – 0,4 кВ от существующей опоры ВЛ-0,4 кВ ТП – 507</t>
  </si>
  <si>
    <t>Строительство ВЛИ – 0,4 кВ от существующей опоры ВЛ-0.4 кВ ТП – 418</t>
  </si>
  <si>
    <t xml:space="preserve">Строительство ВЛИ – 0,4 кВ от существующей опоры ВЛ-0,4 кВ ТП – 745 </t>
  </si>
  <si>
    <t>Строительство ВЛИ – 0,4 кВ от существующей опоры ВЛ-0,4 кВ ТП-475</t>
  </si>
  <si>
    <t>Монтаж КТПН 63 кВА
ул. Лесозаводская</t>
  </si>
  <si>
    <t>СИП3 1х95</t>
  </si>
  <si>
    <t>250 кВА</t>
  </si>
  <si>
    <t>2х250 кВА</t>
  </si>
  <si>
    <t>от 15 до 150 кВт</t>
  </si>
  <si>
    <t>от 150 до 670 кВт</t>
  </si>
  <si>
    <t>2х1000 кВА</t>
  </si>
  <si>
    <t>2х630 кВА</t>
  </si>
  <si>
    <t>2х100 кВА</t>
  </si>
  <si>
    <t>СИП 4х25</t>
  </si>
  <si>
    <t>Строительство ВЛИ – 0,4 кВ от существующей опоры ВЛ-0,4 кВ ТП – 32</t>
  </si>
  <si>
    <t xml:space="preserve">Строительство КЛ – 0,4 кВ от ТП – 107 </t>
  </si>
  <si>
    <t>АВБбШв-4х50</t>
  </si>
  <si>
    <t>СИП-4х16</t>
  </si>
  <si>
    <t>63 кВА</t>
  </si>
  <si>
    <t>СИП-3х35+1х50</t>
  </si>
  <si>
    <t>Строительство ВЛ – 6 кВ от  п/ст «Западная» до проектируемой КТПН 250 кВА   №№ 7,8,9</t>
  </si>
  <si>
    <t>мкр. Дружба</t>
  </si>
  <si>
    <t>Монтаж КТПН 2х630 кВА                                    проходная</t>
  </si>
  <si>
    <t>СИП 3х35+1х50</t>
  </si>
  <si>
    <t>Строительство ВЛ - 6кВ от п/ст "Стройдвор" до КТПН 2х630 кВА</t>
  </si>
  <si>
    <t>Строительство ВЛ - 6кВ от ТП - 883 до КТПН 2х630 кВА</t>
  </si>
  <si>
    <t>КИУЗ "Силинский"</t>
  </si>
  <si>
    <t>КИУЗ "Чкалова"</t>
  </si>
  <si>
    <t>Монтаж КТПН 400 кВА                                 № 2, тупиковая</t>
  </si>
  <si>
    <t>Строительство ВЛ - 6кВ от существующей опоры ВЛ - 6 кВ ф.13 п/ст "Стройдвор"</t>
  </si>
  <si>
    <t>Существующая / ожидаемая мощность (кВт)</t>
  </si>
  <si>
    <t>400 кВА</t>
  </si>
  <si>
    <t>Строительство ВЛ - 6кВ от существующей опоры ВЛ - 6 кВ ф.6 п/ст "Объект-10"</t>
  </si>
  <si>
    <t>Строительство ВЛ-6кВ от КТПН 400 кВА № 1 до КТПН 400 кВА № 2</t>
  </si>
  <si>
    <t xml:space="preserve">Строительство ВЛИ – 0,4 кВ от КТПН № 1,2 до земельных участков </t>
  </si>
  <si>
    <t>Монтаж КТПН 400 кВА                                 № 1, проходная</t>
  </si>
  <si>
    <t>Монтаж КТПН 400 кВА                                 № 2, проходная</t>
  </si>
  <si>
    <t>мкр. Таежный</t>
  </si>
  <si>
    <t>Строительство ВЛ - 6кВ от существующей опоры ВЛ - 6кВ ф.4 п/ст "К"</t>
  </si>
  <si>
    <t>2х400 кВА</t>
  </si>
  <si>
    <t>Монтаж КТПН 400 кВА                              № 2, проходная</t>
  </si>
  <si>
    <t>Строительство ВЛ - 6 кВ от КТПН-715 до КТПН 400 кВА № 2</t>
  </si>
  <si>
    <t>Строительство ВЛ - 6кВ от КТПН № 1 до КТПН № 2</t>
  </si>
  <si>
    <t>Строительство ВЛИ - 0,4 кВ от КТПН № 1,2 до земельных участков</t>
  </si>
  <si>
    <t>мкр. Амурлитмаш (ул. Культурная)</t>
  </si>
  <si>
    <t>Строительство ВЛ - 6кВ от п/ст "Т" до КТПН 2х630 кВА</t>
  </si>
  <si>
    <t>Строительство КЛ – 6 кВ от точки врезки в КЛ – 6кВ «ЦРП-14 – ТП-238» до
КТПН 160 кВА</t>
  </si>
  <si>
    <t>Строительство ВЛ-6кВ от существующей опоры ВЛ-6кВ «ф.3 ТП – 43» до              КТПН 63 кВА</t>
  </si>
  <si>
    <t>КИУЗ "Большевик"</t>
  </si>
  <si>
    <t>Строительство ВЛ - 6кВ от п/ст "Байкальская" до КТПН 400 кВА № 1</t>
  </si>
  <si>
    <t>Строительство КЛ-6кВ от ЦРП-19 до КТПН 2х630 кВА</t>
  </si>
  <si>
    <t>Монтаж КТПН 400 кВА                             № 1, тупиковая</t>
  </si>
  <si>
    <t>Монтаж  КТПН 2х250 кВА                    № 4, проходная</t>
  </si>
  <si>
    <t>Монтаж  КТПН 2Х250 кВА                          № 5, проходная</t>
  </si>
  <si>
    <t>Монтаж КТПН 2х250 кВА                       
№ 6, проходная</t>
  </si>
  <si>
    <t>Монтаж  КТПН 2Х250 кВА                  № 3, проходная</t>
  </si>
  <si>
    <t>Монтаж  КТПН 250 кВА             
№ 1, тупиковая</t>
  </si>
  <si>
    <t>Монтаж КТПН 2х400 кВА                       
№ 1, проходная</t>
  </si>
  <si>
    <t>Реконструкция ЦРП-7</t>
  </si>
  <si>
    <t>Итого</t>
  </si>
  <si>
    <t>Новое строительство за счет ставки платы на технологического присоединение</t>
  </si>
  <si>
    <t>Новое строительство за счет собственных средств</t>
  </si>
  <si>
    <t>Всего</t>
  </si>
  <si>
    <t>свыше 670 кВт</t>
  </si>
  <si>
    <t>Благоустройство</t>
  </si>
  <si>
    <t>Благо                                         устройство                            857 749 руб./км.</t>
  </si>
  <si>
    <t>Проектные</t>
  </si>
  <si>
    <t xml:space="preserve"> КТПН  СМР  (без оборуд.)</t>
  </si>
  <si>
    <t>Строительство ВЛ-6кВ от проектируемой ВЛ-6кВ п/ст "Байкальская" - КТПН № 1</t>
  </si>
  <si>
    <t>2015 г.</t>
  </si>
  <si>
    <t>2016 г.</t>
  </si>
  <si>
    <t>2017 г.</t>
  </si>
  <si>
    <t>6</t>
  </si>
  <si>
    <t>6.1</t>
  </si>
  <si>
    <t>6.2</t>
  </si>
  <si>
    <t>6.3</t>
  </si>
  <si>
    <t>7</t>
  </si>
  <si>
    <t>7.1</t>
  </si>
  <si>
    <t>8</t>
  </si>
  <si>
    <t>8.1</t>
  </si>
  <si>
    <t>8.2</t>
  </si>
  <si>
    <t>8.3</t>
  </si>
  <si>
    <t>9</t>
  </si>
  <si>
    <t>9.1</t>
  </si>
  <si>
    <t>10</t>
  </si>
  <si>
    <t>10.1</t>
  </si>
  <si>
    <t>10.2</t>
  </si>
  <si>
    <t>10.3</t>
  </si>
  <si>
    <t>11</t>
  </si>
  <si>
    <t>11.1</t>
  </si>
  <si>
    <t>11.2</t>
  </si>
  <si>
    <t>12</t>
  </si>
  <si>
    <t>12.1</t>
  </si>
  <si>
    <t>13</t>
  </si>
  <si>
    <t>13.1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</si>
  <si>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</si>
  <si>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</si>
  <si>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</si>
  <si>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</si>
  <si>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</si>
  <si>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</si>
  <si>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</si>
  <si>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</si>
  <si>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</si>
  <si>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</si>
  <si>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</si>
  <si>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24.1</t>
  </si>
  <si>
    <t>24.2</t>
  </si>
  <si>
    <t>25</t>
  </si>
  <si>
    <t>26</t>
  </si>
  <si>
    <t>15.1</t>
  </si>
  <si>
    <t>25.1</t>
  </si>
  <si>
    <t>26.1</t>
  </si>
  <si>
    <t>27</t>
  </si>
  <si>
    <t>27.1</t>
  </si>
  <si>
    <t>27.2</t>
  </si>
  <si>
    <t>28</t>
  </si>
  <si>
    <t>28.1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</si>
  <si>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</si>
  <si>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</si>
  <si>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</si>
  <si>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</si>
  <si>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</si>
  <si>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</si>
  <si>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</si>
  <si>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</si>
  <si>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</si>
  <si>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35.1</t>
  </si>
  <si>
    <t>36.1</t>
  </si>
  <si>
    <t>36.2</t>
  </si>
  <si>
    <t>37.1</t>
  </si>
  <si>
    <t>37.2</t>
  </si>
  <si>
    <t>38</t>
  </si>
  <si>
    <t>39</t>
  </si>
  <si>
    <t>Итого, руб.</t>
  </si>
  <si>
    <t>руб.</t>
  </si>
  <si>
    <t>Строительство КЛ-0,4 кВ от КТПН 250 кВА</t>
  </si>
  <si>
    <t>Строительство КЛ-0,4 кВ от КТПН "Модуль" 2х630 кВА</t>
  </si>
  <si>
    <t>Строительство КЛ-0,4 кВ от КТПН "Модуль" 2х1000 кВА</t>
  </si>
  <si>
    <r>
      <t xml:space="preserve">Индекс               </t>
    </r>
    <r>
      <rPr>
        <b/>
        <sz val="10"/>
        <rFont val="Times New Roman"/>
        <family val="1"/>
      </rPr>
      <t xml:space="preserve"> 2015 г.</t>
    </r>
  </si>
  <si>
    <r>
      <t>Индекс                     2</t>
    </r>
    <r>
      <rPr>
        <b/>
        <sz val="10"/>
        <rFont val="Times New Roman"/>
        <family val="1"/>
      </rPr>
      <t>016 г.</t>
    </r>
  </si>
  <si>
    <r>
      <t xml:space="preserve">Индекс                          </t>
    </r>
    <r>
      <rPr>
        <b/>
        <sz val="10"/>
        <rFont val="Times New Roman"/>
        <family val="1"/>
      </rPr>
      <t xml:space="preserve"> 2017 г.</t>
    </r>
  </si>
  <si>
    <r>
      <t xml:space="preserve">Сметная стоимость строит-ва                         1 км. линии / шт.                             </t>
    </r>
    <r>
      <rPr>
        <b/>
        <sz val="12"/>
        <rFont val="Times New Roman"/>
        <family val="1"/>
      </rPr>
      <t>2015 г.</t>
    </r>
  </si>
  <si>
    <r>
      <t xml:space="preserve">Сметная стоимость строит-ва                        1 км. линии / шт.                             </t>
    </r>
    <r>
      <rPr>
        <b/>
        <sz val="12"/>
        <rFont val="Times New Roman"/>
        <family val="1"/>
      </rPr>
      <t xml:space="preserve"> 2016 г.</t>
    </r>
  </si>
  <si>
    <r>
      <t xml:space="preserve">Сметная стоимость строит-ва                        1 км. линии / шт.                               </t>
    </r>
    <r>
      <rPr>
        <b/>
        <sz val="12"/>
        <rFont val="Times New Roman"/>
        <family val="1"/>
      </rPr>
      <t>2017 г.</t>
    </r>
  </si>
  <si>
    <t>Финансовые потребности                         на реализацию мероприятий, руб.</t>
  </si>
  <si>
    <r>
      <t xml:space="preserve">Стоимость строительства объекта (рублей) без НДС                            </t>
    </r>
    <r>
      <rPr>
        <b/>
        <sz val="12"/>
        <rFont val="Times New Roman"/>
        <family val="1"/>
      </rPr>
      <t xml:space="preserve"> 2014 г.</t>
    </r>
  </si>
  <si>
    <t>ААБлу - 3х185</t>
  </si>
  <si>
    <t>35.2</t>
  </si>
  <si>
    <t>37.3</t>
  </si>
  <si>
    <t>36.3</t>
  </si>
  <si>
    <t xml:space="preserve"> КТПН  СМР                                       (без оборуд.)</t>
  </si>
  <si>
    <t>560,7/</t>
  </si>
  <si>
    <t>Стоимость строительства объекта (рублей)                              без НДС                              2014 г.</t>
  </si>
  <si>
    <t>Всего по предприятию</t>
  </si>
  <si>
    <t>Сметная стоимость строительства 1 км. линии / шт.                 2014 г.</t>
  </si>
  <si>
    <t>ВСЕГО</t>
  </si>
  <si>
    <t>,</t>
  </si>
  <si>
    <t>Сметная                            стоимость строительства                            1 км. линии / шт.</t>
  </si>
  <si>
    <r>
      <t xml:space="preserve">Сметная стоимость строительства 1 км. линии / шт.                             </t>
    </r>
    <r>
      <rPr>
        <b/>
        <sz val="12"/>
        <rFont val="Times New Roman"/>
        <family val="1"/>
      </rPr>
      <t xml:space="preserve"> 2014 г.</t>
    </r>
  </si>
  <si>
    <t>Новое строительство за счет ставки платы на технологическое  присоединение</t>
  </si>
  <si>
    <t xml:space="preserve">VIII. Титульный список строек инвестиционной программы  2015-2017 гг.                                                    </t>
  </si>
  <si>
    <t xml:space="preserve">      -14-</t>
  </si>
  <si>
    <t>Стоимость строительства объекта (рублей)                                 без НДС      2015, 2016,                               2017 гг.</t>
  </si>
  <si>
    <t xml:space="preserve">                                                        Таблица 4</t>
  </si>
  <si>
    <t>Монтаж КТПН 2х400 кВА                                                                               
№ 1, проходная</t>
  </si>
  <si>
    <t>Монтаж КТПН 400 кВА                                                                             № 2, проходная</t>
  </si>
  <si>
    <t>Монтаж  КТПН 2Х250 кВА                                                  № 3, проходная</t>
  </si>
  <si>
    <t>Монтаж  КТПН 2х250 кВА                                                      № 4, проходная</t>
  </si>
  <si>
    <t>Наименование                                                           строительства</t>
  </si>
  <si>
    <t xml:space="preserve">      -15-</t>
  </si>
  <si>
    <t xml:space="preserve">      -16-</t>
  </si>
  <si>
    <t xml:space="preserve">      -17-</t>
  </si>
  <si>
    <t xml:space="preserve">      -18-</t>
  </si>
  <si>
    <t xml:space="preserve">      -19-</t>
  </si>
  <si>
    <t>Х. Расчёт  затрат на проектирование</t>
  </si>
  <si>
    <t>Монтаж  КТПН 2Х250 кВА                                                        № 3, проходная</t>
  </si>
  <si>
    <t>Монтаж  КТПН 2х250 кВА                                                  № 4, проходная</t>
  </si>
  <si>
    <t xml:space="preserve">Затраты  на проектирование,                          руб. </t>
  </si>
  <si>
    <t xml:space="preserve">Монтаж КТПН 63 кВА
</t>
  </si>
  <si>
    <t>Строительство ВЛ-6кВ от существующей опоры ВЛ-6кВ  до КТПН 63 кВА</t>
  </si>
  <si>
    <t>Строительство ВЛИ – 0,4 кВ от существующей опоры ВЛ-0,4 кВ                              ТП – 315</t>
  </si>
  <si>
    <t>Строительство ВЛИ – 0,4 кВ от существующей опоры ВЛ-0,4 кВ                              ТП – 316</t>
  </si>
  <si>
    <t>Строительство ВЛИ – 0,4 кВ от существующей опоры ВЛ-0,4 кВ                           ТП – 507</t>
  </si>
  <si>
    <t>Строительство ВЛИ – 0,4 кВ от существующей опоры ВЛ-0.4 кВ                                ТП – 418</t>
  </si>
  <si>
    <t xml:space="preserve">Строительство ВЛИ – 0,4 кВ от существующей опоры ВЛ-0,4 кВ                            ТП – 745 </t>
  </si>
  <si>
    <t>Строительство КЛ – 6 кВ  до КТПН 2х100 кВА</t>
  </si>
  <si>
    <t xml:space="preserve">Монтаж КТПН 100 кВА
</t>
  </si>
  <si>
    <t xml:space="preserve">Монтаж КТПН 160 кВА 
</t>
  </si>
  <si>
    <t>Строительство КЛ – 6 кВ  до КТПН 100 кВА</t>
  </si>
  <si>
    <t>Строительство КЛ – 6 кВ  до                               КТПН 100 кВА</t>
  </si>
  <si>
    <t>Строительство ВЛ-6кВ</t>
  </si>
  <si>
    <t xml:space="preserve">Монтаж КТПН 2х250 кВА  
</t>
  </si>
  <si>
    <t>Строительство КЛ – 6 кВ  до КТПН 2х250 кВА</t>
  </si>
  <si>
    <t>Строительство КЛ – 6 кВ                                                      до КТПН 160 кВА</t>
  </si>
  <si>
    <t xml:space="preserve">Монтаж КТПН 250 кВА 
</t>
  </si>
  <si>
    <t>Строительство ВЛ-6 кВ  до КТПН 250 кВА</t>
  </si>
  <si>
    <t xml:space="preserve">Монтаж КТПН «Модуль» 2х630 кВА 
</t>
  </si>
  <si>
    <t>Строительство КЛ – 6 кВ до КТПН «Модуль» 2х630 кВА</t>
  </si>
  <si>
    <t>Строительство КЛ – 6 кВ  до КТПН «Модуль» 2х630 кВА</t>
  </si>
  <si>
    <t>Монтаж КТПН «Модуль» 2х1000 кВА</t>
  </si>
  <si>
    <t>Строительство КЛ – 6 кВ до КТПН «Модуль» 2х1000 кВа</t>
  </si>
  <si>
    <t>Строительство ВЛ-6кВ   до КТПН 63 кВА</t>
  </si>
  <si>
    <t xml:space="preserve">Монтаж КТПН 2х100 кВА 
</t>
  </si>
  <si>
    <t>Строительство ВЛ-6кВ до КТПН  160 кВА</t>
  </si>
  <si>
    <t>Строительство КЛ – 6 кВ  до
КТПН 160 кВА</t>
  </si>
  <si>
    <t>Строительство ВЛ-6 кВ до КТПН 250 кВА</t>
  </si>
  <si>
    <t xml:space="preserve">Монтаж КТПН «Модуль» 2х1000 кВА </t>
  </si>
  <si>
    <t>Строительство КЛ – 6 кВ  до КТПН «Модуль» 2х1000 кВа</t>
  </si>
  <si>
    <t>Монтаж КТПН 2х400 кВА                       
№ 1, проходная   2013 г.</t>
  </si>
  <si>
    <t>Титульный список строек  долгосрочной инвестиционной программы 2015, 2016, 2017 гг.</t>
  </si>
  <si>
    <r>
      <t xml:space="preserve">                                                                                                      </t>
    </r>
    <r>
      <rPr>
        <sz val="12"/>
        <rFont val="Times New Roman"/>
        <family val="1"/>
      </rPr>
      <t>Таблица 3</t>
    </r>
  </si>
  <si>
    <t>Реконструкция</t>
  </si>
  <si>
    <t xml:space="preserve"> ЦРП-7</t>
  </si>
  <si>
    <t>ИТОГО за счёт  собственных средств</t>
  </si>
  <si>
    <t>- 15 -</t>
  </si>
  <si>
    <t>- 16 -</t>
  </si>
  <si>
    <t>- 17 -</t>
  </si>
  <si>
    <t>- 18 -</t>
  </si>
  <si>
    <t>- 19 -</t>
  </si>
  <si>
    <t>- 14 -</t>
  </si>
  <si>
    <t xml:space="preserve">ВСЕГО  по предприятию </t>
  </si>
  <si>
    <t>- 20 -</t>
  </si>
  <si>
    <t xml:space="preserve">                                                            Монтаж КТПН 63 кВА
</t>
  </si>
  <si>
    <t>Подготовка и выдача ТУ, проверка выполнения ТУ</t>
  </si>
  <si>
    <t>Фактическое присоединение</t>
  </si>
  <si>
    <t xml:space="preserve">Строительство ВЛИ – 0,4 кВ от КТПН № 1 до земельных участков </t>
  </si>
  <si>
    <t>Строительство ВЛ - 6 кВ от КТПН-715 до КТПН 400 кВА № 1</t>
  </si>
  <si>
    <t>Строительство КЛ – 0,4 кВ</t>
  </si>
  <si>
    <t xml:space="preserve">Строительство ВЛИ – 0,4 кВ </t>
  </si>
  <si>
    <t xml:space="preserve">Строительство КЛ – 6 кВ </t>
  </si>
  <si>
    <t>ИТОГО</t>
  </si>
  <si>
    <t xml:space="preserve">ВСЕГО  </t>
  </si>
  <si>
    <t>2. Новое строительство за счет ставки платы на технологического присоединение</t>
  </si>
  <si>
    <t xml:space="preserve"> Монтаж КТПН 160 кВА 
</t>
  </si>
  <si>
    <t>1. Новое строительство за счет кап. вложений                                                                                                                    (по программе "Многодетные семьи")</t>
  </si>
  <si>
    <t>ВЛ – 6 кВ                                (км)</t>
  </si>
  <si>
    <t>КЛ – 6 кВ      (км)</t>
  </si>
  <si>
    <t xml:space="preserve">Титульный список строек инвестиционной программы                                                                                                                     "Модернизация сетей   МУ ППЭС  г. Комсомольска-на-Амуре"                                                                на  2017 г.                                                    </t>
  </si>
  <si>
    <t>КЛ – 0,4 кВ                                             (км)</t>
  </si>
  <si>
    <t>ВЛ – 0,4 кВ                                         (км)</t>
  </si>
  <si>
    <t>Марка кабеля (провода), мощность трансфор-ра (кВА)</t>
  </si>
  <si>
    <t>№№    п/п</t>
  </si>
  <si>
    <t>Строительство ВЛ – 6 кВ от п/ст «Красная» до проектируемой КТПН 250 кВа  № 1</t>
  </si>
  <si>
    <t>1.4</t>
  </si>
  <si>
    <t>1.5</t>
  </si>
  <si>
    <t>1.6</t>
  </si>
  <si>
    <t>1.7</t>
  </si>
  <si>
    <t>1.8</t>
  </si>
  <si>
    <t>1.9</t>
  </si>
  <si>
    <t>1.10</t>
  </si>
  <si>
    <t>2.4</t>
  </si>
  <si>
    <t>2.5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</si>
</sst>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0.0000000"/>
    <numFmt numFmtId="173" formatCode="0.000000"/>
    <numFmt numFmtId="174" formatCode="0.00000"/>
    <numFmt numFmtId="175" formatCode="0.0000"/>
    <numFmt numFmtId="176" formatCode="#,##0.0000"/>
    <numFmt numFmtId="177" formatCode="#,##0.00_ ;\-#,##0.00\ "/>
    <numFmt numFmtId="178" formatCode="_-* #,##0.0_р_._-;\-* #,##0.0_р_._-;_-* &quot;-&quot;??_р_._-;_-@_-"/>
    <numFmt numFmtId="179" formatCode="_-* #,##0_р_._-;\-* #,##0_р_._-;_-* &quot;-&quot;??_р_._-;_-@_-"/>
    <numFmt numFmtId="180" formatCode="0.0%"/>
    <numFmt numFmtId="181" formatCode="0.000%"/>
    <numFmt numFmtId="182" formatCode="0.0000%"/>
    <numFmt numFmtId="183" formatCode="#,##0.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 wrapText="1"/>
    </xf>
    <xf numFmtId="170" fontId="1" fillId="0" borderId="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8" fontId="2" fillId="0" borderId="3" xfId="0" applyNumberFormat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9" fontId="2" fillId="0" borderId="2" xfId="2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9" fontId="1" fillId="0" borderId="0" xfId="19" applyFont="1" applyAlignment="1">
      <alignment/>
    </xf>
    <xf numFmtId="4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82" fontId="1" fillId="0" borderId="0" xfId="19" applyNumberFormat="1" applyFont="1" applyAlignment="1">
      <alignment/>
    </xf>
    <xf numFmtId="180" fontId="2" fillId="0" borderId="0" xfId="19" applyNumberFormat="1" applyFont="1" applyAlignment="1">
      <alignment/>
    </xf>
    <xf numFmtId="180" fontId="2" fillId="0" borderId="0" xfId="0" applyNumberFormat="1" applyFont="1" applyAlignment="1">
      <alignment/>
    </xf>
    <xf numFmtId="4" fontId="12" fillId="0" borderId="1" xfId="2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2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70" fontId="2" fillId="0" borderId="1" xfId="0" applyNumberFormat="1" applyFont="1" applyBorder="1" applyAlignment="1">
      <alignment horizontal="center"/>
    </xf>
    <xf numFmtId="180" fontId="1" fillId="0" borderId="1" xfId="19" applyNumberFormat="1" applyFon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2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180" fontId="1" fillId="0" borderId="1" xfId="19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2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3" fontId="1" fillId="0" borderId="1" xfId="20" applyNumberFormat="1" applyFont="1" applyFill="1" applyBorder="1" applyAlignment="1">
      <alignment horizontal="center"/>
    </xf>
    <xf numFmtId="179" fontId="2" fillId="0" borderId="2" xfId="2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1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9" fontId="1" fillId="0" borderId="1" xfId="19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169" fontId="2" fillId="0" borderId="3" xfId="2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69" fontId="1" fillId="0" borderId="0" xfId="19" applyNumberFormat="1" applyFont="1" applyBorder="1" applyAlignment="1">
      <alignment horizontal="center" vertical="center"/>
    </xf>
    <xf numFmtId="9" fontId="2" fillId="0" borderId="0" xfId="19" applyFont="1" applyAlignment="1">
      <alignment/>
    </xf>
    <xf numFmtId="49" fontId="1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left" vertical="center"/>
    </xf>
    <xf numFmtId="3" fontId="12" fillId="0" borderId="1" xfId="2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69" fontId="1" fillId="0" borderId="1" xfId="2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79" fontId="1" fillId="0" borderId="1" xfId="2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9" fontId="1" fillId="2" borderId="1" xfId="19" applyNumberFormat="1" applyFont="1" applyFill="1" applyBorder="1" applyAlignment="1">
      <alignment horizontal="center" vertical="center"/>
    </xf>
    <xf numFmtId="3" fontId="1" fillId="2" borderId="1" xfId="19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168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9" fontId="1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2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6" xfId="19" applyNumberFormat="1" applyFont="1" applyBorder="1" applyAlignment="1">
      <alignment horizontal="center" vertical="center"/>
    </xf>
    <xf numFmtId="3" fontId="1" fillId="0" borderId="6" xfId="19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80" fontId="24" fillId="0" borderId="0" xfId="19" applyNumberFormat="1" applyFont="1" applyAlignment="1">
      <alignment/>
    </xf>
    <xf numFmtId="0" fontId="20" fillId="0" borderId="0" xfId="0" applyFont="1" applyAlignment="1">
      <alignment/>
    </xf>
    <xf numFmtId="179" fontId="20" fillId="0" borderId="0" xfId="0" applyNumberFormat="1" applyFont="1" applyAlignment="1">
      <alignment/>
    </xf>
    <xf numFmtId="180" fontId="24" fillId="0" borderId="0" xfId="0" applyNumberFormat="1" applyFont="1" applyAlignment="1">
      <alignment/>
    </xf>
    <xf numFmtId="180" fontId="20" fillId="0" borderId="0" xfId="19" applyNumberFormat="1" applyFont="1" applyAlignment="1">
      <alignment/>
    </xf>
    <xf numFmtId="0" fontId="24" fillId="0" borderId="0" xfId="0" applyFont="1" applyAlignment="1">
      <alignment/>
    </xf>
    <xf numFmtId="3" fontId="24" fillId="0" borderId="1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19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/>
    </xf>
    <xf numFmtId="179" fontId="1" fillId="0" borderId="1" xfId="2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170" fontId="1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9" fontId="2" fillId="0" borderId="8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9" fontId="1" fillId="0" borderId="15" xfId="0" applyNumberFormat="1" applyFont="1" applyFill="1" applyBorder="1" applyAlignment="1">
      <alignment horizontal="center"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3" fontId="7" fillId="0" borderId="0" xfId="2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/>
    </xf>
    <xf numFmtId="17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right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28" fillId="0" borderId="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="85" zoomScaleNormal="85" zoomScaleSheetLayoutView="5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55" customWidth="1"/>
    <col min="2" max="2" width="42.625" style="47" customWidth="1"/>
    <col min="3" max="3" width="21.125" style="47" customWidth="1"/>
    <col min="4" max="4" width="17.00390625" style="47" hidden="1" customWidth="1"/>
    <col min="5" max="5" width="8.125" style="47" hidden="1" customWidth="1"/>
    <col min="6" max="6" width="9.75390625" style="47" hidden="1" customWidth="1"/>
    <col min="7" max="7" width="19.875" style="47" customWidth="1"/>
    <col min="8" max="8" width="21.625" style="47" customWidth="1"/>
    <col min="9" max="9" width="15.625" style="60" customWidth="1"/>
    <col min="10" max="10" width="12.375" style="47" customWidth="1"/>
    <col min="11" max="11" width="11.875" style="47" customWidth="1"/>
    <col min="12" max="12" width="12.375" style="47" customWidth="1"/>
    <col min="13" max="13" width="14.75390625" style="47" hidden="1" customWidth="1"/>
    <col min="14" max="14" width="7.375" style="47" hidden="1" customWidth="1"/>
    <col min="15" max="16" width="8.75390625" style="47" hidden="1" customWidth="1"/>
    <col min="17" max="17" width="8.25390625" style="47" hidden="1" customWidth="1"/>
    <col min="18" max="18" width="9.25390625" style="47" hidden="1" customWidth="1"/>
    <col min="19" max="19" width="9.125" style="47" hidden="1" customWidth="1"/>
    <col min="20" max="20" width="9.125" style="201" customWidth="1"/>
    <col min="21" max="21" width="10.75390625" style="47" bestFit="1" customWidth="1"/>
    <col min="22" max="16384" width="9.125" style="47" customWidth="1"/>
  </cols>
  <sheetData>
    <row r="1" spans="1:19" ht="15.75">
      <c r="A1" s="48"/>
      <c r="B1" s="6"/>
      <c r="C1" s="6"/>
      <c r="D1" s="6"/>
      <c r="E1" s="7"/>
      <c r="F1" s="45"/>
      <c r="G1" s="46"/>
      <c r="H1" s="46"/>
      <c r="I1" s="155"/>
      <c r="J1" s="46"/>
      <c r="K1" s="46"/>
      <c r="L1" s="46"/>
      <c r="M1" s="49"/>
      <c r="N1" s="6"/>
      <c r="O1" s="6"/>
      <c r="P1" s="6"/>
      <c r="Q1" s="6"/>
      <c r="R1" s="6"/>
      <c r="S1" s="6"/>
    </row>
    <row r="2" spans="1:19" ht="27" customHeight="1">
      <c r="A2" s="306" t="s">
        <v>244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</row>
    <row r="3" spans="1:20" ht="15.75" customHeight="1">
      <c r="A3" s="308" t="s">
        <v>0</v>
      </c>
      <c r="B3" s="290" t="s">
        <v>1</v>
      </c>
      <c r="C3" s="290" t="s">
        <v>14</v>
      </c>
      <c r="D3" s="290" t="s">
        <v>134</v>
      </c>
      <c r="E3" s="290" t="s">
        <v>99</v>
      </c>
      <c r="F3" s="290"/>
      <c r="G3" s="290" t="s">
        <v>227</v>
      </c>
      <c r="H3" s="290" t="s">
        <v>220</v>
      </c>
      <c r="I3" s="289" t="s">
        <v>247</v>
      </c>
      <c r="J3" s="301"/>
      <c r="K3" s="301"/>
      <c r="L3" s="302"/>
      <c r="M3" s="290" t="s">
        <v>13</v>
      </c>
      <c r="N3" s="290" t="s">
        <v>12</v>
      </c>
      <c r="O3" s="290"/>
      <c r="P3" s="290"/>
      <c r="Q3" s="290"/>
      <c r="R3" s="290"/>
      <c r="S3" s="290"/>
      <c r="T3" s="198"/>
    </row>
    <row r="4" spans="1:20" ht="31.5" customHeight="1">
      <c r="A4" s="308"/>
      <c r="B4" s="290"/>
      <c r="C4" s="290"/>
      <c r="D4" s="290"/>
      <c r="E4" s="290"/>
      <c r="F4" s="290"/>
      <c r="G4" s="290"/>
      <c r="H4" s="290"/>
      <c r="I4" s="303"/>
      <c r="J4" s="304"/>
      <c r="K4" s="304"/>
      <c r="L4" s="305"/>
      <c r="M4" s="290"/>
      <c r="N4" s="290" t="s">
        <v>8</v>
      </c>
      <c r="O4" s="290" t="s">
        <v>11</v>
      </c>
      <c r="P4" s="290" t="s">
        <v>7</v>
      </c>
      <c r="Q4" s="290" t="s">
        <v>2</v>
      </c>
      <c r="R4" s="290" t="s">
        <v>3</v>
      </c>
      <c r="S4" s="290" t="s">
        <v>4</v>
      </c>
      <c r="T4" s="198"/>
    </row>
    <row r="5" spans="1:20" ht="40.5" customHeight="1">
      <c r="A5" s="308"/>
      <c r="B5" s="290"/>
      <c r="C5" s="290"/>
      <c r="D5" s="290"/>
      <c r="E5" s="290"/>
      <c r="F5" s="290"/>
      <c r="G5" s="290"/>
      <c r="H5" s="290"/>
      <c r="I5" s="151" t="s">
        <v>225</v>
      </c>
      <c r="J5" s="151" t="s">
        <v>138</v>
      </c>
      <c r="K5" s="151" t="s">
        <v>139</v>
      </c>
      <c r="L5" s="151" t="s">
        <v>140</v>
      </c>
      <c r="M5" s="290"/>
      <c r="N5" s="290"/>
      <c r="O5" s="290"/>
      <c r="P5" s="290"/>
      <c r="Q5" s="290"/>
      <c r="R5" s="290"/>
      <c r="S5" s="290"/>
      <c r="T5" s="198"/>
    </row>
    <row r="6" spans="1:20" ht="15.75">
      <c r="A6" s="298" t="s">
        <v>226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00"/>
      <c r="T6" s="198"/>
    </row>
    <row r="7" spans="1:20" ht="19.5" customHeight="1">
      <c r="A7" s="298" t="s">
        <v>95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0"/>
      <c r="T7" s="198"/>
    </row>
    <row r="8" spans="1:20" ht="47.25">
      <c r="A8" s="3" t="s">
        <v>28</v>
      </c>
      <c r="B8" s="12" t="s">
        <v>20</v>
      </c>
      <c r="C8" s="2">
        <f>G8*P8</f>
        <v>1039014</v>
      </c>
      <c r="D8" s="61"/>
      <c r="E8" s="18"/>
      <c r="F8" s="19"/>
      <c r="G8" s="11">
        <v>865845</v>
      </c>
      <c r="H8" s="11"/>
      <c r="I8" s="38">
        <f>C8*3/100</f>
        <v>31170.42</v>
      </c>
      <c r="J8" s="11"/>
      <c r="K8" s="11">
        <f>I8</f>
        <v>31170.42</v>
      </c>
      <c r="L8" s="11"/>
      <c r="M8" s="8" t="s">
        <v>74</v>
      </c>
      <c r="N8" s="1" t="s">
        <v>5</v>
      </c>
      <c r="O8" s="1" t="s">
        <v>5</v>
      </c>
      <c r="P8" s="1">
        <v>1.2</v>
      </c>
      <c r="Q8" s="1" t="s">
        <v>5</v>
      </c>
      <c r="R8" s="1" t="s">
        <v>5</v>
      </c>
      <c r="S8" s="1" t="s">
        <v>5</v>
      </c>
      <c r="T8" s="198"/>
    </row>
    <row r="9" spans="1:20" ht="31.5">
      <c r="A9" s="3" t="s">
        <v>29</v>
      </c>
      <c r="B9" s="13" t="s">
        <v>125</v>
      </c>
      <c r="C9" s="2">
        <f>G9*N9</f>
        <v>532986</v>
      </c>
      <c r="D9" s="61"/>
      <c r="E9" s="18" t="s">
        <v>10</v>
      </c>
      <c r="F9" s="20">
        <f>250*0.89</f>
        <v>222.5</v>
      </c>
      <c r="G9" s="2">
        <v>532986</v>
      </c>
      <c r="H9" s="2">
        <f>136841*1.048*1.058*1.031</f>
        <v>156430.65179566402</v>
      </c>
      <c r="I9" s="5">
        <f>(G9-H9)*1/100</f>
        <v>3765.55348204336</v>
      </c>
      <c r="J9" s="2"/>
      <c r="K9" s="11">
        <f aca="true" t="shared" si="0" ref="K9:K15">I9</f>
        <v>3765.55348204336</v>
      </c>
      <c r="L9" s="2"/>
      <c r="M9" s="8" t="s">
        <v>75</v>
      </c>
      <c r="N9" s="1">
        <v>1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98"/>
    </row>
    <row r="10" spans="1:20" ht="31.5">
      <c r="A10" s="3" t="s">
        <v>30</v>
      </c>
      <c r="B10" s="13" t="s">
        <v>27</v>
      </c>
      <c r="C10" s="2">
        <f>G10*N10</f>
        <v>532986</v>
      </c>
      <c r="D10" s="61"/>
      <c r="E10" s="18" t="s">
        <v>10</v>
      </c>
      <c r="F10" s="20">
        <f>250*0.89</f>
        <v>222.5</v>
      </c>
      <c r="G10" s="2">
        <v>532986</v>
      </c>
      <c r="H10" s="2">
        <f>136841*1.048*1.058*1.031</f>
        <v>156430.65179566402</v>
      </c>
      <c r="I10" s="5">
        <f>(G10-H10)*1/100</f>
        <v>3765.55348204336</v>
      </c>
      <c r="J10" s="2"/>
      <c r="K10" s="11">
        <f t="shared" si="0"/>
        <v>3765.55348204336</v>
      </c>
      <c r="L10" s="2"/>
      <c r="M10" s="8" t="s">
        <v>75</v>
      </c>
      <c r="N10" s="1">
        <v>1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  <c r="T10" s="198"/>
    </row>
    <row r="11" spans="1:20" ht="31.5">
      <c r="A11" s="3" t="s">
        <v>31</v>
      </c>
      <c r="B11" s="13" t="s">
        <v>245</v>
      </c>
      <c r="C11" s="2">
        <f>G11*N11</f>
        <v>1066705</v>
      </c>
      <c r="D11" s="61"/>
      <c r="E11" s="18" t="s">
        <v>10</v>
      </c>
      <c r="F11" s="21">
        <f>2*250*0.89</f>
        <v>445</v>
      </c>
      <c r="G11" s="2">
        <v>1066705</v>
      </c>
      <c r="H11" s="2">
        <f>235470*1.048*1.058*1.031</f>
        <v>269179.01490288</v>
      </c>
      <c r="I11" s="5">
        <f>(G11-H11)*1/100</f>
        <v>7975.259850971201</v>
      </c>
      <c r="J11" s="2"/>
      <c r="K11" s="11">
        <f t="shared" si="0"/>
        <v>7975.259850971201</v>
      </c>
      <c r="L11" s="2"/>
      <c r="M11" s="8" t="s">
        <v>76</v>
      </c>
      <c r="N11" s="1">
        <v>1</v>
      </c>
      <c r="O11" s="1" t="s">
        <v>5</v>
      </c>
      <c r="P11" s="1" t="s">
        <v>5</v>
      </c>
      <c r="Q11" s="1" t="s">
        <v>5</v>
      </c>
      <c r="R11" s="1" t="s">
        <v>5</v>
      </c>
      <c r="S11" s="1" t="s">
        <v>5</v>
      </c>
      <c r="T11" s="198"/>
    </row>
    <row r="12" spans="1:20" ht="47.25">
      <c r="A12" s="3" t="s">
        <v>32</v>
      </c>
      <c r="B12" s="12" t="s">
        <v>21</v>
      </c>
      <c r="C12" s="2">
        <f>G12*P12</f>
        <v>1039014</v>
      </c>
      <c r="D12" s="61"/>
      <c r="E12" s="18"/>
      <c r="F12" s="22"/>
      <c r="G12" s="11">
        <v>865845</v>
      </c>
      <c r="H12" s="11"/>
      <c r="I12" s="38">
        <f>C12*3/100</f>
        <v>31170.42</v>
      </c>
      <c r="J12" s="11"/>
      <c r="K12" s="11">
        <f t="shared" si="0"/>
        <v>31170.42</v>
      </c>
      <c r="L12" s="11"/>
      <c r="M12" s="8" t="s">
        <v>74</v>
      </c>
      <c r="N12" s="1" t="s">
        <v>5</v>
      </c>
      <c r="O12" s="1" t="s">
        <v>5</v>
      </c>
      <c r="P12" s="1">
        <v>1.2</v>
      </c>
      <c r="Q12" s="1" t="s">
        <v>5</v>
      </c>
      <c r="R12" s="1" t="s">
        <v>5</v>
      </c>
      <c r="S12" s="1" t="s">
        <v>5</v>
      </c>
      <c r="T12" s="198"/>
    </row>
    <row r="13" spans="1:20" ht="31.5">
      <c r="A13" s="3" t="s">
        <v>33</v>
      </c>
      <c r="B13" s="13" t="s">
        <v>246</v>
      </c>
      <c r="C13" s="2">
        <f>G13*N13</f>
        <v>1066705</v>
      </c>
      <c r="D13" s="61"/>
      <c r="E13" s="18" t="s">
        <v>10</v>
      </c>
      <c r="F13" s="21">
        <f>2*250*0.89</f>
        <v>445</v>
      </c>
      <c r="G13" s="2">
        <v>1066705</v>
      </c>
      <c r="H13" s="2">
        <f>235470*1.048*1.058*1.031</f>
        <v>269179.01490288</v>
      </c>
      <c r="I13" s="5">
        <f>(G13-H13)*1/100</f>
        <v>7975.259850971201</v>
      </c>
      <c r="J13" s="2"/>
      <c r="K13" s="11">
        <f t="shared" si="0"/>
        <v>7975.259850971201</v>
      </c>
      <c r="L13" s="2"/>
      <c r="M13" s="8" t="s">
        <v>76</v>
      </c>
      <c r="N13" s="1">
        <v>1</v>
      </c>
      <c r="O13" s="1" t="s">
        <v>5</v>
      </c>
      <c r="P13" s="1" t="s">
        <v>5</v>
      </c>
      <c r="Q13" s="1" t="s">
        <v>5</v>
      </c>
      <c r="R13" s="1" t="s">
        <v>5</v>
      </c>
      <c r="S13" s="1" t="s">
        <v>5</v>
      </c>
      <c r="T13" s="198"/>
    </row>
    <row r="14" spans="1:20" ht="31.5">
      <c r="A14" s="3" t="s">
        <v>34</v>
      </c>
      <c r="B14" s="13" t="s">
        <v>122</v>
      </c>
      <c r="C14" s="2">
        <f>G14*N14</f>
        <v>1066705</v>
      </c>
      <c r="D14" s="61"/>
      <c r="E14" s="18" t="s">
        <v>10</v>
      </c>
      <c r="F14" s="21">
        <f>2*250*0.89</f>
        <v>445</v>
      </c>
      <c r="G14" s="2">
        <v>1066705</v>
      </c>
      <c r="H14" s="2">
        <f>235470*1.048*1.058*1.031</f>
        <v>269179.01490288</v>
      </c>
      <c r="I14" s="5">
        <f>(G14-H14)*1/100</f>
        <v>7975.259850971201</v>
      </c>
      <c r="J14" s="2"/>
      <c r="K14" s="11">
        <f t="shared" si="0"/>
        <v>7975.259850971201</v>
      </c>
      <c r="L14" s="2"/>
      <c r="M14" s="8" t="s">
        <v>76</v>
      </c>
      <c r="N14" s="1">
        <v>1</v>
      </c>
      <c r="O14" s="1" t="s">
        <v>5</v>
      </c>
      <c r="P14" s="1" t="s">
        <v>5</v>
      </c>
      <c r="Q14" s="1" t="s">
        <v>5</v>
      </c>
      <c r="R14" s="1" t="s">
        <v>5</v>
      </c>
      <c r="S14" s="1" t="s">
        <v>5</v>
      </c>
      <c r="T14" s="198"/>
    </row>
    <row r="15" spans="1:20" ht="31.5">
      <c r="A15" s="3" t="s">
        <v>35</v>
      </c>
      <c r="B15" s="13" t="s">
        <v>123</v>
      </c>
      <c r="C15" s="2">
        <f>G15*N15</f>
        <v>1066705</v>
      </c>
      <c r="D15" s="61"/>
      <c r="E15" s="18" t="s">
        <v>10</v>
      </c>
      <c r="F15" s="21">
        <f>2*250*0.89</f>
        <v>445</v>
      </c>
      <c r="G15" s="2">
        <v>1066705</v>
      </c>
      <c r="H15" s="2">
        <f>235470*1.048*1.058*1.031</f>
        <v>269179.01490288</v>
      </c>
      <c r="I15" s="5">
        <f>(G15-H15)*1/100</f>
        <v>7975.259850971201</v>
      </c>
      <c r="J15" s="2"/>
      <c r="K15" s="11">
        <f t="shared" si="0"/>
        <v>7975.259850971201</v>
      </c>
      <c r="L15" s="2"/>
      <c r="M15" s="8" t="s">
        <v>76</v>
      </c>
      <c r="N15" s="1">
        <v>1</v>
      </c>
      <c r="O15" s="1" t="s">
        <v>5</v>
      </c>
      <c r="P15" s="1" t="s">
        <v>5</v>
      </c>
      <c r="Q15" s="1" t="s">
        <v>5</v>
      </c>
      <c r="R15" s="1" t="s">
        <v>5</v>
      </c>
      <c r="S15" s="1" t="s">
        <v>5</v>
      </c>
      <c r="T15" s="198"/>
    </row>
    <row r="16" spans="1:20" ht="47.25">
      <c r="A16" s="3" t="s">
        <v>36</v>
      </c>
      <c r="B16" s="12" t="s">
        <v>89</v>
      </c>
      <c r="C16" s="2">
        <f>G16*P16</f>
        <v>2041977.5</v>
      </c>
      <c r="D16" s="61"/>
      <c r="E16" s="18"/>
      <c r="F16" s="23"/>
      <c r="G16" s="11">
        <v>816791</v>
      </c>
      <c r="H16" s="11"/>
      <c r="I16" s="38">
        <f>C16*3/100</f>
        <v>61259.325</v>
      </c>
      <c r="J16" s="11">
        <f aca="true" t="shared" si="1" ref="J16:J21">I16</f>
        <v>61259.325</v>
      </c>
      <c r="K16" s="11"/>
      <c r="L16" s="11"/>
      <c r="M16" s="10" t="s">
        <v>74</v>
      </c>
      <c r="N16" s="1" t="s">
        <v>5</v>
      </c>
      <c r="O16" s="1" t="s">
        <v>5</v>
      </c>
      <c r="P16" s="1">
        <v>2.5</v>
      </c>
      <c r="Q16" s="1" t="s">
        <v>5</v>
      </c>
      <c r="R16" s="1" t="s">
        <v>5</v>
      </c>
      <c r="S16" s="1" t="s">
        <v>5</v>
      </c>
      <c r="T16" s="198"/>
    </row>
    <row r="17" spans="1:20" ht="31.5">
      <c r="A17" s="73" t="s">
        <v>37</v>
      </c>
      <c r="B17" s="13" t="s">
        <v>24</v>
      </c>
      <c r="C17" s="2">
        <f>G17*N17</f>
        <v>1006272</v>
      </c>
      <c r="D17" s="61"/>
      <c r="E17" s="18" t="s">
        <v>10</v>
      </c>
      <c r="F17" s="21">
        <f>2*250*0.89</f>
        <v>445</v>
      </c>
      <c r="G17" s="2">
        <v>1006272</v>
      </c>
      <c r="H17" s="2">
        <f>235470*1.048*1.058*1.031</f>
        <v>269179.01490288</v>
      </c>
      <c r="I17" s="5">
        <f>(G17-H17)*1/100</f>
        <v>7370.929850971201</v>
      </c>
      <c r="J17" s="11">
        <f t="shared" si="1"/>
        <v>7370.929850971201</v>
      </c>
      <c r="K17" s="2"/>
      <c r="L17" s="2"/>
      <c r="M17" s="10" t="s">
        <v>76</v>
      </c>
      <c r="N17" s="1">
        <v>1</v>
      </c>
      <c r="O17" s="1" t="s">
        <v>5</v>
      </c>
      <c r="P17" s="1" t="s">
        <v>5</v>
      </c>
      <c r="Q17" s="1" t="s">
        <v>5</v>
      </c>
      <c r="R17" s="1" t="s">
        <v>5</v>
      </c>
      <c r="S17" s="1" t="s">
        <v>5</v>
      </c>
      <c r="T17" s="198"/>
    </row>
    <row r="18" spans="1:20" ht="31.5">
      <c r="A18" s="73" t="s">
        <v>38</v>
      </c>
      <c r="B18" s="13" t="s">
        <v>25</v>
      </c>
      <c r="C18" s="2">
        <f>G18*N18</f>
        <v>920125</v>
      </c>
      <c r="D18" s="61"/>
      <c r="E18" s="18" t="s">
        <v>10</v>
      </c>
      <c r="F18" s="21">
        <f>2*250*0.89</f>
        <v>445</v>
      </c>
      <c r="G18" s="2">
        <v>920125</v>
      </c>
      <c r="H18" s="2">
        <f>235470*1.048*1.058*1.031</f>
        <v>269179.01490288</v>
      </c>
      <c r="I18" s="5">
        <f>(G18-H18)*1/100</f>
        <v>6509.4598509712005</v>
      </c>
      <c r="J18" s="11">
        <f t="shared" si="1"/>
        <v>6509.4598509712005</v>
      </c>
      <c r="K18" s="2"/>
      <c r="L18" s="2"/>
      <c r="M18" s="10" t="s">
        <v>76</v>
      </c>
      <c r="N18" s="1">
        <v>1</v>
      </c>
      <c r="O18" s="1" t="s">
        <v>5</v>
      </c>
      <c r="P18" s="1" t="s">
        <v>5</v>
      </c>
      <c r="Q18" s="1" t="s">
        <v>5</v>
      </c>
      <c r="R18" s="1" t="s">
        <v>5</v>
      </c>
      <c r="S18" s="1" t="s">
        <v>5</v>
      </c>
      <c r="T18" s="198"/>
    </row>
    <row r="19" spans="1:20" ht="31.5">
      <c r="A19" s="73" t="s">
        <v>39</v>
      </c>
      <c r="B19" s="13" t="s">
        <v>26</v>
      </c>
      <c r="C19" s="2">
        <f>G19*N19</f>
        <v>532986</v>
      </c>
      <c r="D19" s="61"/>
      <c r="E19" s="18" t="s">
        <v>10</v>
      </c>
      <c r="F19" s="20">
        <f>250*0.89</f>
        <v>222.5</v>
      </c>
      <c r="G19" s="2">
        <v>532986</v>
      </c>
      <c r="H19" s="2">
        <f>136841*1.048*1.058*1.031</f>
        <v>156430.65179566402</v>
      </c>
      <c r="I19" s="5">
        <f>(G19-H19)*1/100</f>
        <v>3765.55348204336</v>
      </c>
      <c r="J19" s="2">
        <f t="shared" si="1"/>
        <v>3765.55348204336</v>
      </c>
      <c r="K19" s="2"/>
      <c r="L19" s="2"/>
      <c r="M19" s="10" t="s">
        <v>75</v>
      </c>
      <c r="N19" s="1">
        <v>1</v>
      </c>
      <c r="O19" s="1" t="s">
        <v>5</v>
      </c>
      <c r="P19" s="1" t="s">
        <v>5</v>
      </c>
      <c r="Q19" s="1" t="s">
        <v>5</v>
      </c>
      <c r="R19" s="1" t="s">
        <v>5</v>
      </c>
      <c r="S19" s="1" t="s">
        <v>5</v>
      </c>
      <c r="T19" s="198"/>
    </row>
    <row r="20" spans="1:20" ht="31.5">
      <c r="A20" s="3" t="s">
        <v>40</v>
      </c>
      <c r="B20" s="12" t="s">
        <v>22</v>
      </c>
      <c r="C20" s="2">
        <f>G20*P20</f>
        <v>1306865.6</v>
      </c>
      <c r="D20" s="61"/>
      <c r="E20" s="18"/>
      <c r="F20" s="24"/>
      <c r="G20" s="11">
        <v>816791</v>
      </c>
      <c r="H20" s="11"/>
      <c r="I20" s="38">
        <f>C20*3/100</f>
        <v>39205.968</v>
      </c>
      <c r="J20" s="11">
        <f t="shared" si="1"/>
        <v>39205.968</v>
      </c>
      <c r="K20" s="11"/>
      <c r="L20" s="11"/>
      <c r="M20" s="10" t="s">
        <v>74</v>
      </c>
      <c r="N20" s="1" t="s">
        <v>5</v>
      </c>
      <c r="O20" s="1" t="s">
        <v>5</v>
      </c>
      <c r="P20" s="1">
        <v>1.6</v>
      </c>
      <c r="Q20" s="1" t="s">
        <v>5</v>
      </c>
      <c r="R20" s="1" t="s">
        <v>5</v>
      </c>
      <c r="S20" s="1" t="s">
        <v>5</v>
      </c>
      <c r="T20" s="198"/>
    </row>
    <row r="21" spans="1:20" ht="31.5">
      <c r="A21" s="3" t="s">
        <v>9</v>
      </c>
      <c r="B21" s="12" t="s">
        <v>23</v>
      </c>
      <c r="C21" s="2">
        <f>G21*R21</f>
        <v>10060944</v>
      </c>
      <c r="D21" s="61"/>
      <c r="E21" s="18"/>
      <c r="F21" s="25"/>
      <c r="G21" s="2">
        <v>838412</v>
      </c>
      <c r="H21" s="2"/>
      <c r="I21" s="38">
        <f>C21*3/100</f>
        <v>301828.32</v>
      </c>
      <c r="J21" s="11">
        <f t="shared" si="1"/>
        <v>301828.32</v>
      </c>
      <c r="K21" s="11"/>
      <c r="L21" s="11"/>
      <c r="M21" s="10" t="s">
        <v>92</v>
      </c>
      <c r="N21" s="1" t="s">
        <v>5</v>
      </c>
      <c r="O21" s="1" t="s">
        <v>5</v>
      </c>
      <c r="P21" s="1" t="s">
        <v>5</v>
      </c>
      <c r="Q21" s="1" t="s">
        <v>5</v>
      </c>
      <c r="R21" s="1">
        <v>12</v>
      </c>
      <c r="S21" s="1" t="s">
        <v>5</v>
      </c>
      <c r="T21" s="198"/>
    </row>
    <row r="22" spans="1:20" ht="19.5" customHeight="1">
      <c r="A22" s="298" t="s">
        <v>90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300"/>
      <c r="T22" s="198"/>
    </row>
    <row r="23" spans="1:20" ht="31.5">
      <c r="A23" s="73" t="s">
        <v>141</v>
      </c>
      <c r="B23" s="13" t="s">
        <v>91</v>
      </c>
      <c r="C23" s="2">
        <f>G23*N23</f>
        <v>2454244</v>
      </c>
      <c r="D23" s="61"/>
      <c r="E23" s="18" t="s">
        <v>10</v>
      </c>
      <c r="F23" s="28">
        <f>2*630*0.89</f>
        <v>1121.4</v>
      </c>
      <c r="G23" s="2">
        <v>2454244</v>
      </c>
      <c r="H23" s="2">
        <f>(C23-1916527)*1.048*1.058*1.031</f>
        <v>614694.578317968</v>
      </c>
      <c r="I23" s="5">
        <f>(G23-H23)*1/100</f>
        <v>18395.49421682032</v>
      </c>
      <c r="J23" s="2"/>
      <c r="K23" s="2">
        <f>I23</f>
        <v>18395.49421682032</v>
      </c>
      <c r="L23" s="2"/>
      <c r="M23" s="10" t="s">
        <v>80</v>
      </c>
      <c r="N23" s="1">
        <v>1</v>
      </c>
      <c r="O23" s="1" t="s">
        <v>5</v>
      </c>
      <c r="P23" s="1" t="s">
        <v>5</v>
      </c>
      <c r="Q23" s="1" t="s">
        <v>5</v>
      </c>
      <c r="R23" s="1" t="s">
        <v>5</v>
      </c>
      <c r="S23" s="1" t="s">
        <v>5</v>
      </c>
      <c r="T23" s="198"/>
    </row>
    <row r="24" spans="1:20" ht="31.5">
      <c r="A24" s="3" t="s">
        <v>142</v>
      </c>
      <c r="B24" s="12" t="s">
        <v>93</v>
      </c>
      <c r="C24" s="2">
        <f>G24*P24</f>
        <v>816791</v>
      </c>
      <c r="D24" s="61"/>
      <c r="E24" s="18"/>
      <c r="F24" s="25"/>
      <c r="G24" s="11">
        <v>816791</v>
      </c>
      <c r="H24" s="11"/>
      <c r="I24" s="38">
        <f>C24*3/100</f>
        <v>24503.73</v>
      </c>
      <c r="J24" s="11"/>
      <c r="K24" s="2">
        <f>I24</f>
        <v>24503.73</v>
      </c>
      <c r="L24" s="11"/>
      <c r="M24" s="8" t="s">
        <v>74</v>
      </c>
      <c r="N24" s="1" t="s">
        <v>5</v>
      </c>
      <c r="O24" s="1" t="s">
        <v>5</v>
      </c>
      <c r="P24" s="1">
        <v>1</v>
      </c>
      <c r="Q24" s="1" t="s">
        <v>5</v>
      </c>
      <c r="R24" s="1" t="s">
        <v>5</v>
      </c>
      <c r="S24" s="1" t="s">
        <v>5</v>
      </c>
      <c r="T24" s="198"/>
    </row>
    <row r="25" spans="1:20" ht="31.5">
      <c r="A25" s="3" t="s">
        <v>143</v>
      </c>
      <c r="B25" s="12" t="s">
        <v>94</v>
      </c>
      <c r="C25" s="2">
        <f>G25*P25</f>
        <v>326716.4</v>
      </c>
      <c r="D25" s="61"/>
      <c r="E25" s="18"/>
      <c r="F25" s="25"/>
      <c r="G25" s="11">
        <v>816791</v>
      </c>
      <c r="H25" s="11"/>
      <c r="I25" s="38">
        <f>C25*3/100</f>
        <v>9801.492</v>
      </c>
      <c r="J25" s="11"/>
      <c r="K25" s="2">
        <f>I25</f>
        <v>9801.492</v>
      </c>
      <c r="L25" s="11"/>
      <c r="M25" s="8" t="s">
        <v>74</v>
      </c>
      <c r="N25" s="1" t="s">
        <v>5</v>
      </c>
      <c r="O25" s="1" t="s">
        <v>5</v>
      </c>
      <c r="P25" s="1">
        <v>0.4</v>
      </c>
      <c r="Q25" s="1" t="s">
        <v>5</v>
      </c>
      <c r="R25" s="1" t="s">
        <v>5</v>
      </c>
      <c r="S25" s="1" t="s">
        <v>5</v>
      </c>
      <c r="T25" s="198"/>
    </row>
    <row r="26" spans="1:20" ht="31.5">
      <c r="A26" s="3" t="s">
        <v>144</v>
      </c>
      <c r="B26" s="12" t="s">
        <v>23</v>
      </c>
      <c r="C26" s="2">
        <f>G26*R26</f>
        <v>1257618</v>
      </c>
      <c r="D26" s="61"/>
      <c r="E26" s="18"/>
      <c r="F26" s="25"/>
      <c r="G26" s="2">
        <v>838412</v>
      </c>
      <c r="H26" s="2"/>
      <c r="I26" s="38">
        <f>C26*3/100</f>
        <v>37728.54</v>
      </c>
      <c r="J26" s="11"/>
      <c r="K26" s="2">
        <f>I26</f>
        <v>37728.54</v>
      </c>
      <c r="L26" s="11"/>
      <c r="M26" s="10" t="s">
        <v>92</v>
      </c>
      <c r="N26" s="1" t="s">
        <v>5</v>
      </c>
      <c r="O26" s="1" t="s">
        <v>5</v>
      </c>
      <c r="P26" s="1" t="s">
        <v>5</v>
      </c>
      <c r="Q26" s="1" t="s">
        <v>5</v>
      </c>
      <c r="R26" s="1">
        <v>1.5</v>
      </c>
      <c r="S26" s="1" t="s">
        <v>5</v>
      </c>
      <c r="T26" s="198"/>
    </row>
    <row r="27" spans="1:20" ht="19.5" customHeight="1">
      <c r="A27" s="298" t="s">
        <v>96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300"/>
      <c r="T27" s="198"/>
    </row>
    <row r="28" spans="1:20" ht="31.5">
      <c r="A28" s="73" t="s">
        <v>145</v>
      </c>
      <c r="B28" s="13" t="s">
        <v>104</v>
      </c>
      <c r="C28" s="2">
        <f>G28*N28</f>
        <v>1513648</v>
      </c>
      <c r="D28" s="61"/>
      <c r="E28" s="18" t="s">
        <v>10</v>
      </c>
      <c r="F28" s="29">
        <v>356</v>
      </c>
      <c r="G28" s="2">
        <v>1513648</v>
      </c>
      <c r="H28" s="2">
        <f>136841*1.048*1.058*1.062*1.031</f>
        <v>166129.35220699522</v>
      </c>
      <c r="I28" s="5">
        <f>(G28-H28)*1/100</f>
        <v>13475.186477930047</v>
      </c>
      <c r="J28" s="2"/>
      <c r="K28" s="2"/>
      <c r="L28" s="2">
        <f aca="true" t="shared" si="2" ref="L28:L33">I28</f>
        <v>13475.186477930047</v>
      </c>
      <c r="M28" s="10" t="s">
        <v>100</v>
      </c>
      <c r="N28" s="1">
        <v>1</v>
      </c>
      <c r="O28" s="1" t="s">
        <v>5</v>
      </c>
      <c r="P28" s="1" t="s">
        <v>5</v>
      </c>
      <c r="Q28" s="1" t="s">
        <v>5</v>
      </c>
      <c r="R28" s="1" t="s">
        <v>5</v>
      </c>
      <c r="S28" s="1" t="s">
        <v>5</v>
      </c>
      <c r="T28" s="198"/>
    </row>
    <row r="29" spans="1:20" ht="47.25">
      <c r="A29" s="3" t="s">
        <v>146</v>
      </c>
      <c r="B29" s="12" t="s">
        <v>98</v>
      </c>
      <c r="C29" s="2">
        <f>G29*P29</f>
        <v>963820.7999999999</v>
      </c>
      <c r="D29" s="61"/>
      <c r="E29" s="18"/>
      <c r="F29" s="25"/>
      <c r="G29" s="11">
        <v>803184</v>
      </c>
      <c r="H29" s="11"/>
      <c r="I29" s="38">
        <f>C29*3/100</f>
        <v>28914.624</v>
      </c>
      <c r="J29" s="11"/>
      <c r="K29" s="11"/>
      <c r="L29" s="2">
        <f t="shared" si="2"/>
        <v>28914.624</v>
      </c>
      <c r="M29" s="8" t="s">
        <v>16</v>
      </c>
      <c r="N29" s="1" t="s">
        <v>5</v>
      </c>
      <c r="O29" s="1" t="s">
        <v>5</v>
      </c>
      <c r="P29" s="1">
        <v>1.2</v>
      </c>
      <c r="Q29" s="1" t="s">
        <v>5</v>
      </c>
      <c r="R29" s="1" t="s">
        <v>5</v>
      </c>
      <c r="S29" s="1" t="s">
        <v>5</v>
      </c>
      <c r="T29" s="198"/>
    </row>
    <row r="30" spans="1:20" ht="31.5">
      <c r="A30" s="73" t="s">
        <v>147</v>
      </c>
      <c r="B30" s="13" t="s">
        <v>105</v>
      </c>
      <c r="C30" s="2">
        <f>G30*N30</f>
        <v>1513648</v>
      </c>
      <c r="D30" s="61"/>
      <c r="E30" s="18" t="s">
        <v>10</v>
      </c>
      <c r="F30" s="29">
        <v>356</v>
      </c>
      <c r="G30" s="2">
        <v>1513648</v>
      </c>
      <c r="H30" s="2">
        <f>136841*1.048*1.058*1.062*1.031</f>
        <v>166129.35220699522</v>
      </c>
      <c r="I30" s="5">
        <f>(G30-H30)*1/100</f>
        <v>13475.186477930047</v>
      </c>
      <c r="J30" s="2"/>
      <c r="K30" s="2"/>
      <c r="L30" s="2">
        <f t="shared" si="2"/>
        <v>13475.186477930047</v>
      </c>
      <c r="M30" s="10" t="s">
        <v>100</v>
      </c>
      <c r="N30" s="1">
        <v>1</v>
      </c>
      <c r="O30" s="1" t="s">
        <v>5</v>
      </c>
      <c r="P30" s="1" t="s">
        <v>5</v>
      </c>
      <c r="Q30" s="1" t="s">
        <v>5</v>
      </c>
      <c r="R30" s="1" t="s">
        <v>5</v>
      </c>
      <c r="S30" s="1" t="s">
        <v>5</v>
      </c>
      <c r="T30" s="198"/>
    </row>
    <row r="31" spans="1:20" ht="47.25">
      <c r="A31" s="3" t="s">
        <v>148</v>
      </c>
      <c r="B31" s="12" t="s">
        <v>101</v>
      </c>
      <c r="C31" s="2">
        <f>G31*P31</f>
        <v>321273.60000000003</v>
      </c>
      <c r="D31" s="61"/>
      <c r="E31" s="18"/>
      <c r="F31" s="25"/>
      <c r="G31" s="11">
        <v>803184</v>
      </c>
      <c r="H31" s="11"/>
      <c r="I31" s="38">
        <f>C31*3/100</f>
        <v>9638.208</v>
      </c>
      <c r="J31" s="11"/>
      <c r="K31" s="11"/>
      <c r="L31" s="2">
        <f t="shared" si="2"/>
        <v>9638.208</v>
      </c>
      <c r="M31" s="8" t="s">
        <v>16</v>
      </c>
      <c r="N31" s="1" t="s">
        <v>5</v>
      </c>
      <c r="O31" s="1" t="s">
        <v>5</v>
      </c>
      <c r="P31" s="1">
        <v>0.4</v>
      </c>
      <c r="Q31" s="1" t="s">
        <v>5</v>
      </c>
      <c r="R31" s="1" t="s">
        <v>5</v>
      </c>
      <c r="S31" s="1" t="s">
        <v>5</v>
      </c>
      <c r="T31" s="198"/>
    </row>
    <row r="32" spans="1:20" ht="31.5">
      <c r="A32" s="3" t="s">
        <v>149</v>
      </c>
      <c r="B32" s="12" t="s">
        <v>102</v>
      </c>
      <c r="C32" s="2">
        <f>G32*P32</f>
        <v>401592</v>
      </c>
      <c r="D32" s="61"/>
      <c r="E32" s="18"/>
      <c r="F32" s="25"/>
      <c r="G32" s="11">
        <v>803184</v>
      </c>
      <c r="H32" s="11"/>
      <c r="I32" s="38">
        <f>C32*3/100</f>
        <v>12047.76</v>
      </c>
      <c r="J32" s="11"/>
      <c r="K32" s="11"/>
      <c r="L32" s="2">
        <f t="shared" si="2"/>
        <v>12047.76</v>
      </c>
      <c r="M32" s="8" t="s">
        <v>16</v>
      </c>
      <c r="N32" s="1" t="s">
        <v>5</v>
      </c>
      <c r="O32" s="1" t="s">
        <v>5</v>
      </c>
      <c r="P32" s="1">
        <v>0.5</v>
      </c>
      <c r="Q32" s="1" t="s">
        <v>5</v>
      </c>
      <c r="R32" s="1" t="s">
        <v>5</v>
      </c>
      <c r="S32" s="1" t="s">
        <v>5</v>
      </c>
      <c r="T32" s="198"/>
    </row>
    <row r="33" spans="1:20" ht="31.5">
      <c r="A33" s="3" t="s">
        <v>150</v>
      </c>
      <c r="B33" s="12" t="s">
        <v>103</v>
      </c>
      <c r="C33" s="2">
        <f>G33*R33</f>
        <v>1777508</v>
      </c>
      <c r="D33" s="61"/>
      <c r="E33" s="18"/>
      <c r="F33" s="25"/>
      <c r="G33" s="2">
        <v>888754</v>
      </c>
      <c r="H33" s="2"/>
      <c r="I33" s="38">
        <f>C33*3/100</f>
        <v>53325.24</v>
      </c>
      <c r="J33" s="11"/>
      <c r="K33" s="11"/>
      <c r="L33" s="2">
        <f t="shared" si="2"/>
        <v>53325.24</v>
      </c>
      <c r="M33" s="10" t="s">
        <v>92</v>
      </c>
      <c r="N33" s="1" t="s">
        <v>5</v>
      </c>
      <c r="O33" s="1" t="s">
        <v>5</v>
      </c>
      <c r="P33" s="1" t="s">
        <v>5</v>
      </c>
      <c r="Q33" s="1" t="s">
        <v>5</v>
      </c>
      <c r="R33" s="1">
        <v>2</v>
      </c>
      <c r="S33" s="1" t="s">
        <v>5</v>
      </c>
      <c r="T33" s="198"/>
    </row>
    <row r="34" spans="1:20" ht="19.5" customHeight="1">
      <c r="A34" s="298" t="s">
        <v>106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300"/>
      <c r="T34" s="198"/>
    </row>
    <row r="35" spans="1:20" ht="31.5">
      <c r="A35" s="73" t="s">
        <v>151</v>
      </c>
      <c r="B35" s="13" t="s">
        <v>126</v>
      </c>
      <c r="C35" s="2">
        <f>G35*N35</f>
        <v>2002128</v>
      </c>
      <c r="D35" s="61"/>
      <c r="E35" s="18" t="s">
        <v>10</v>
      </c>
      <c r="F35" s="29">
        <v>712</v>
      </c>
      <c r="G35" s="2">
        <v>2002128</v>
      </c>
      <c r="H35" s="2">
        <f>218481*1.048*1.058*1.062*1.019</f>
        <v>262155.7127327325</v>
      </c>
      <c r="I35" s="5">
        <f>(G35-H35)*1/100</f>
        <v>17399.722872672675</v>
      </c>
      <c r="J35" s="2"/>
      <c r="K35" s="2"/>
      <c r="L35" s="2">
        <f aca="true" t="shared" si="3" ref="L35:L40">I35</f>
        <v>17399.722872672675</v>
      </c>
      <c r="M35" s="10" t="s">
        <v>108</v>
      </c>
      <c r="N35" s="1">
        <v>1</v>
      </c>
      <c r="O35" s="1" t="s">
        <v>5</v>
      </c>
      <c r="P35" s="1" t="s">
        <v>5</v>
      </c>
      <c r="Q35" s="1" t="s">
        <v>5</v>
      </c>
      <c r="R35" s="1" t="s">
        <v>5</v>
      </c>
      <c r="S35" s="1" t="s">
        <v>5</v>
      </c>
      <c r="T35" s="198"/>
    </row>
    <row r="36" spans="1:20" ht="47.25">
      <c r="A36" s="3" t="s">
        <v>152</v>
      </c>
      <c r="B36" s="12" t="s">
        <v>107</v>
      </c>
      <c r="C36" s="2">
        <f>G36*P36</f>
        <v>969510.95</v>
      </c>
      <c r="D36" s="61"/>
      <c r="E36" s="18"/>
      <c r="F36" s="25"/>
      <c r="G36" s="11">
        <v>843053</v>
      </c>
      <c r="H36" s="11"/>
      <c r="I36" s="38">
        <f>C36*3/100</f>
        <v>29085.328499999996</v>
      </c>
      <c r="J36" s="11"/>
      <c r="K36" s="11"/>
      <c r="L36" s="2">
        <f t="shared" si="3"/>
        <v>29085.328499999996</v>
      </c>
      <c r="M36" s="8" t="s">
        <v>16</v>
      </c>
      <c r="N36" s="1" t="s">
        <v>5</v>
      </c>
      <c r="O36" s="1" t="s">
        <v>5</v>
      </c>
      <c r="P36" s="1">
        <v>1.15</v>
      </c>
      <c r="Q36" s="1" t="s">
        <v>5</v>
      </c>
      <c r="R36" s="1" t="s">
        <v>5</v>
      </c>
      <c r="S36" s="1" t="s">
        <v>5</v>
      </c>
      <c r="T36" s="198"/>
    </row>
    <row r="37" spans="1:20" ht="31.5">
      <c r="A37" s="73" t="s">
        <v>153</v>
      </c>
      <c r="B37" s="13" t="s">
        <v>109</v>
      </c>
      <c r="C37" s="2">
        <f>G37*N37</f>
        <v>1588784</v>
      </c>
      <c r="D37" s="61"/>
      <c r="E37" s="18" t="s">
        <v>10</v>
      </c>
      <c r="F37" s="29">
        <v>356</v>
      </c>
      <c r="G37" s="2">
        <v>1588784</v>
      </c>
      <c r="H37" s="2">
        <f>218481*1.048*1.058*1.062*1.019</f>
        <v>262155.7127327325</v>
      </c>
      <c r="I37" s="5">
        <f>(G37-H37)*1/100</f>
        <v>13266.282872672675</v>
      </c>
      <c r="J37" s="2"/>
      <c r="K37" s="2"/>
      <c r="L37" s="2">
        <f t="shared" si="3"/>
        <v>13266.282872672675</v>
      </c>
      <c r="M37" s="10" t="s">
        <v>100</v>
      </c>
      <c r="N37" s="1">
        <v>1</v>
      </c>
      <c r="O37" s="1" t="s">
        <v>5</v>
      </c>
      <c r="P37" s="1" t="s">
        <v>5</v>
      </c>
      <c r="Q37" s="1" t="s">
        <v>5</v>
      </c>
      <c r="R37" s="1" t="s">
        <v>5</v>
      </c>
      <c r="S37" s="1" t="s">
        <v>5</v>
      </c>
      <c r="T37" s="198"/>
    </row>
    <row r="38" spans="1:20" ht="31.5">
      <c r="A38" s="3" t="s">
        <v>154</v>
      </c>
      <c r="B38" s="12" t="s">
        <v>110</v>
      </c>
      <c r="C38" s="2">
        <f>G38*P38</f>
        <v>674442.4</v>
      </c>
      <c r="D38" s="61"/>
      <c r="E38" s="18"/>
      <c r="F38" s="25"/>
      <c r="G38" s="11">
        <v>843053</v>
      </c>
      <c r="H38" s="11"/>
      <c r="I38" s="38">
        <f>C38*3/100</f>
        <v>20233.272</v>
      </c>
      <c r="J38" s="11"/>
      <c r="K38" s="11"/>
      <c r="L38" s="2">
        <f t="shared" si="3"/>
        <v>20233.272</v>
      </c>
      <c r="M38" s="8" t="s">
        <v>16</v>
      </c>
      <c r="N38" s="1" t="s">
        <v>5</v>
      </c>
      <c r="O38" s="1" t="s">
        <v>5</v>
      </c>
      <c r="P38" s="1">
        <v>0.8</v>
      </c>
      <c r="Q38" s="1" t="s">
        <v>5</v>
      </c>
      <c r="R38" s="1" t="s">
        <v>5</v>
      </c>
      <c r="S38" s="1" t="s">
        <v>5</v>
      </c>
      <c r="T38" s="198"/>
    </row>
    <row r="39" spans="1:20" ht="31.5">
      <c r="A39" s="3" t="s">
        <v>155</v>
      </c>
      <c r="B39" s="12" t="s">
        <v>111</v>
      </c>
      <c r="C39" s="2">
        <f>G39*P39</f>
        <v>168610.6</v>
      </c>
      <c r="D39" s="61"/>
      <c r="E39" s="18"/>
      <c r="F39" s="25"/>
      <c r="G39" s="11">
        <v>843053</v>
      </c>
      <c r="H39" s="11"/>
      <c r="I39" s="38">
        <f>C39*3/100</f>
        <v>5058.318</v>
      </c>
      <c r="J39" s="11"/>
      <c r="K39" s="11"/>
      <c r="L39" s="2">
        <f t="shared" si="3"/>
        <v>5058.318</v>
      </c>
      <c r="M39" s="8" t="s">
        <v>16</v>
      </c>
      <c r="N39" s="1" t="s">
        <v>5</v>
      </c>
      <c r="O39" s="1" t="s">
        <v>5</v>
      </c>
      <c r="P39" s="1">
        <v>0.2</v>
      </c>
      <c r="Q39" s="1" t="s">
        <v>5</v>
      </c>
      <c r="R39" s="1" t="s">
        <v>5</v>
      </c>
      <c r="S39" s="1" t="s">
        <v>5</v>
      </c>
      <c r="T39" s="198"/>
    </row>
    <row r="40" spans="1:20" ht="31.5">
      <c r="A40" s="3" t="s">
        <v>156</v>
      </c>
      <c r="B40" s="12" t="s">
        <v>112</v>
      </c>
      <c r="C40" s="2">
        <f>G40*R40</f>
        <v>1119458.4</v>
      </c>
      <c r="D40" s="61"/>
      <c r="E40" s="18"/>
      <c r="F40" s="25"/>
      <c r="G40" s="2">
        <v>932882</v>
      </c>
      <c r="H40" s="2"/>
      <c r="I40" s="38">
        <f>C40*3/100</f>
        <v>33583.752</v>
      </c>
      <c r="J40" s="11"/>
      <c r="K40" s="11"/>
      <c r="L40" s="2">
        <f t="shared" si="3"/>
        <v>33583.752</v>
      </c>
      <c r="M40" s="10" t="s">
        <v>92</v>
      </c>
      <c r="N40" s="1" t="s">
        <v>5</v>
      </c>
      <c r="O40" s="1" t="s">
        <v>5</v>
      </c>
      <c r="P40" s="1" t="s">
        <v>5</v>
      </c>
      <c r="Q40" s="1" t="s">
        <v>5</v>
      </c>
      <c r="R40" s="1">
        <v>1.2</v>
      </c>
      <c r="S40" s="1" t="s">
        <v>5</v>
      </c>
      <c r="T40" s="198"/>
    </row>
    <row r="41" spans="1:20" ht="19.5" customHeight="1">
      <c r="A41" s="298" t="s">
        <v>113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300"/>
      <c r="T41" s="198"/>
    </row>
    <row r="42" spans="1:20" ht="31.5">
      <c r="A42" s="73" t="s">
        <v>157</v>
      </c>
      <c r="B42" s="13" t="s">
        <v>91</v>
      </c>
      <c r="C42" s="2">
        <f>G42*N42</f>
        <v>2730781</v>
      </c>
      <c r="D42" s="61"/>
      <c r="E42" s="18" t="s">
        <v>10</v>
      </c>
      <c r="F42" s="28">
        <f>2*630*0.89</f>
        <v>1121.4</v>
      </c>
      <c r="G42" s="2">
        <v>2730781</v>
      </c>
      <c r="H42" s="2">
        <f>218581*1.048*1.058*1.062*1.019</f>
        <v>262275.70289788774</v>
      </c>
      <c r="I42" s="5">
        <f>(G42-H42)*1/100</f>
        <v>24685.052971021123</v>
      </c>
      <c r="J42" s="2"/>
      <c r="K42" s="2"/>
      <c r="L42" s="2">
        <f>I42</f>
        <v>24685.052971021123</v>
      </c>
      <c r="M42" s="10" t="s">
        <v>80</v>
      </c>
      <c r="N42" s="1">
        <v>1</v>
      </c>
      <c r="O42" s="1" t="s">
        <v>5</v>
      </c>
      <c r="P42" s="1" t="s">
        <v>5</v>
      </c>
      <c r="Q42" s="1" t="s">
        <v>5</v>
      </c>
      <c r="R42" s="1" t="s">
        <v>5</v>
      </c>
      <c r="S42" s="1" t="s">
        <v>5</v>
      </c>
      <c r="T42" s="198"/>
    </row>
    <row r="43" spans="1:20" ht="31.5">
      <c r="A43" s="3" t="s">
        <v>158</v>
      </c>
      <c r="B43" s="12" t="s">
        <v>114</v>
      </c>
      <c r="C43" s="2">
        <f>G43*P43</f>
        <v>999707.5000000001</v>
      </c>
      <c r="D43" s="61"/>
      <c r="E43" s="18"/>
      <c r="F43" s="25"/>
      <c r="G43" s="11">
        <v>908825</v>
      </c>
      <c r="H43" s="11"/>
      <c r="I43" s="38">
        <f>C43*3/100</f>
        <v>29991.225000000006</v>
      </c>
      <c r="J43" s="11"/>
      <c r="K43" s="11"/>
      <c r="L43" s="2">
        <f>I43</f>
        <v>29991.225000000006</v>
      </c>
      <c r="M43" s="8" t="s">
        <v>74</v>
      </c>
      <c r="N43" s="1" t="s">
        <v>5</v>
      </c>
      <c r="O43" s="1" t="s">
        <v>5</v>
      </c>
      <c r="P43" s="1">
        <v>1.1</v>
      </c>
      <c r="Q43" s="1" t="s">
        <v>5</v>
      </c>
      <c r="R43" s="1" t="s">
        <v>5</v>
      </c>
      <c r="S43" s="1" t="s">
        <v>5</v>
      </c>
      <c r="T43" s="198"/>
    </row>
    <row r="44" spans="1:20" ht="31.5">
      <c r="A44" s="3" t="s">
        <v>159</v>
      </c>
      <c r="B44" s="12" t="s">
        <v>119</v>
      </c>
      <c r="C44" s="2">
        <f>G44*Q44</f>
        <v>1134022</v>
      </c>
      <c r="D44" s="61"/>
      <c r="E44" s="18"/>
      <c r="F44" s="25"/>
      <c r="G44" s="2">
        <v>1134022</v>
      </c>
      <c r="H44" s="2"/>
      <c r="I44" s="38">
        <f>C44*3/100</f>
        <v>34020.66</v>
      </c>
      <c r="J44" s="11"/>
      <c r="K44" s="11"/>
      <c r="L44" s="2">
        <f>I44</f>
        <v>34020.66</v>
      </c>
      <c r="M44" s="8" t="s">
        <v>17</v>
      </c>
      <c r="N44" s="1" t="s">
        <v>5</v>
      </c>
      <c r="O44" s="1" t="s">
        <v>5</v>
      </c>
      <c r="P44" s="1" t="s">
        <v>5</v>
      </c>
      <c r="Q44" s="1">
        <v>1</v>
      </c>
      <c r="R44" s="1" t="s">
        <v>5</v>
      </c>
      <c r="S44" s="1" t="s">
        <v>5</v>
      </c>
      <c r="T44" s="198"/>
    </row>
    <row r="45" spans="1:20" ht="19.5" customHeight="1">
      <c r="A45" s="298" t="s">
        <v>117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300"/>
      <c r="T45" s="198"/>
    </row>
    <row r="46" spans="1:20" ht="31.5">
      <c r="A46" s="73" t="s">
        <v>160</v>
      </c>
      <c r="B46" s="13" t="s">
        <v>120</v>
      </c>
      <c r="C46" s="2">
        <f>G46*N46</f>
        <v>1011763.0615745441</v>
      </c>
      <c r="D46" s="61"/>
      <c r="E46" s="18" t="s">
        <v>10</v>
      </c>
      <c r="F46" s="29">
        <f>400*0.89*N46</f>
        <v>356</v>
      </c>
      <c r="G46" s="103">
        <f>885061*1.048*1.058*1.031</f>
        <v>1011763.0615745441</v>
      </c>
      <c r="H46" s="2">
        <f>G46*13.7/100</f>
        <v>138611.53943571253</v>
      </c>
      <c r="I46" s="5">
        <f>(G46-H46)*1/100</f>
        <v>8731.515221388316</v>
      </c>
      <c r="J46" s="2"/>
      <c r="K46" s="2">
        <f>I46</f>
        <v>8731.515221388316</v>
      </c>
      <c r="L46" s="2"/>
      <c r="M46" s="10" t="s">
        <v>100</v>
      </c>
      <c r="N46" s="1">
        <v>1</v>
      </c>
      <c r="O46" s="1" t="s">
        <v>5</v>
      </c>
      <c r="P46" s="1" t="s">
        <v>5</v>
      </c>
      <c r="Q46" s="1" t="s">
        <v>5</v>
      </c>
      <c r="R46" s="1" t="s">
        <v>5</v>
      </c>
      <c r="S46" s="1" t="s">
        <v>5</v>
      </c>
      <c r="T46" s="198"/>
    </row>
    <row r="47" spans="1:20" ht="31.5">
      <c r="A47" s="3" t="s">
        <v>161</v>
      </c>
      <c r="B47" s="12" t="s">
        <v>118</v>
      </c>
      <c r="C47" s="2">
        <f>G47*P47</f>
        <v>2168596.8000000003</v>
      </c>
      <c r="D47" s="61"/>
      <c r="E47" s="18"/>
      <c r="F47" s="29"/>
      <c r="G47" s="11">
        <v>803184</v>
      </c>
      <c r="H47" s="11"/>
      <c r="I47" s="38">
        <f>C47*3/100</f>
        <v>65057.904</v>
      </c>
      <c r="J47" s="11"/>
      <c r="K47" s="2">
        <f>I47</f>
        <v>65057.904</v>
      </c>
      <c r="L47" s="11"/>
      <c r="M47" s="8" t="s">
        <v>16</v>
      </c>
      <c r="N47" s="1" t="s">
        <v>5</v>
      </c>
      <c r="O47" s="1" t="s">
        <v>5</v>
      </c>
      <c r="P47" s="1">
        <v>2.7</v>
      </c>
      <c r="Q47" s="1" t="s">
        <v>5</v>
      </c>
      <c r="R47" s="1" t="s">
        <v>5</v>
      </c>
      <c r="S47" s="1" t="s">
        <v>5</v>
      </c>
      <c r="T47" s="198"/>
    </row>
    <row r="48" spans="1:20" ht="31.5">
      <c r="A48" s="73" t="s">
        <v>162</v>
      </c>
      <c r="B48" s="13" t="s">
        <v>97</v>
      </c>
      <c r="C48" s="2">
        <f>G48*N48</f>
        <v>1011763.0615745441</v>
      </c>
      <c r="D48" s="61"/>
      <c r="E48" s="18" t="s">
        <v>10</v>
      </c>
      <c r="F48" s="29">
        <f>400*0.89*N48</f>
        <v>356</v>
      </c>
      <c r="G48" s="103">
        <f>885061*1.048*1.058*1.031</f>
        <v>1011763.0615745441</v>
      </c>
      <c r="H48" s="2">
        <f>G48*13.7/100</f>
        <v>138611.53943571253</v>
      </c>
      <c r="I48" s="5">
        <f>(G48-H48)*1/100</f>
        <v>8731.515221388316</v>
      </c>
      <c r="J48" s="2"/>
      <c r="K48" s="2">
        <f>I48</f>
        <v>8731.515221388316</v>
      </c>
      <c r="L48" s="2"/>
      <c r="M48" s="10" t="s">
        <v>100</v>
      </c>
      <c r="N48" s="1">
        <v>1</v>
      </c>
      <c r="O48" s="1" t="s">
        <v>5</v>
      </c>
      <c r="P48" s="1" t="s">
        <v>5</v>
      </c>
      <c r="Q48" s="1" t="s">
        <v>5</v>
      </c>
      <c r="R48" s="1" t="s">
        <v>5</v>
      </c>
      <c r="S48" s="1" t="s">
        <v>5</v>
      </c>
      <c r="T48" s="198"/>
    </row>
    <row r="49" spans="1:21" ht="47.25">
      <c r="A49" s="3" t="s">
        <v>163</v>
      </c>
      <c r="B49" s="12" t="s">
        <v>137</v>
      </c>
      <c r="C49" s="2">
        <f>G49*P49</f>
        <v>240955.19999999998</v>
      </c>
      <c r="D49" s="61"/>
      <c r="E49" s="18"/>
      <c r="F49" s="25"/>
      <c r="G49" s="11">
        <v>803184</v>
      </c>
      <c r="H49" s="11"/>
      <c r="I49" s="38">
        <f>C49*3/100</f>
        <v>7228.656</v>
      </c>
      <c r="J49" s="11"/>
      <c r="K49" s="2">
        <f>I49</f>
        <v>7228.656</v>
      </c>
      <c r="L49" s="11"/>
      <c r="M49" s="8" t="s">
        <v>16</v>
      </c>
      <c r="N49" s="1" t="s">
        <v>5</v>
      </c>
      <c r="O49" s="1" t="s">
        <v>5</v>
      </c>
      <c r="P49" s="1">
        <v>0.3</v>
      </c>
      <c r="Q49" s="1" t="s">
        <v>5</v>
      </c>
      <c r="R49" s="1" t="s">
        <v>5</v>
      </c>
      <c r="S49" s="1" t="s">
        <v>5</v>
      </c>
      <c r="T49" s="198"/>
      <c r="U49" s="76"/>
    </row>
    <row r="50" spans="1:20" ht="15.75">
      <c r="A50" s="30" t="s">
        <v>164</v>
      </c>
      <c r="B50" s="37" t="s">
        <v>127</v>
      </c>
      <c r="C50" s="2">
        <f>G50</f>
        <v>3859016</v>
      </c>
      <c r="D50" s="61"/>
      <c r="E50" s="18"/>
      <c r="F50" s="25"/>
      <c r="G50" s="11">
        <v>3859016</v>
      </c>
      <c r="H50" s="2">
        <v>2034191</v>
      </c>
      <c r="I50" s="5">
        <f>(G50-H50)*1/100</f>
        <v>18248.25</v>
      </c>
      <c r="J50" s="2"/>
      <c r="K50" s="2"/>
      <c r="L50" s="2">
        <f>I50</f>
        <v>18248.25</v>
      </c>
      <c r="M50" s="8"/>
      <c r="N50" s="1"/>
      <c r="O50" s="1"/>
      <c r="P50" s="1"/>
      <c r="Q50" s="1"/>
      <c r="R50" s="1"/>
      <c r="S50" s="1"/>
      <c r="T50" s="198"/>
    </row>
    <row r="51" spans="1:20" ht="15.75">
      <c r="A51" s="30"/>
      <c r="B51" s="13" t="s">
        <v>133</v>
      </c>
      <c r="C51" s="2">
        <v>411700</v>
      </c>
      <c r="D51" s="61"/>
      <c r="E51" s="18"/>
      <c r="F51" s="25"/>
      <c r="G51" s="2">
        <f>857779*1.048*1.058*1.062*1.019</f>
        <v>1029250.438766623</v>
      </c>
      <c r="H51" s="2"/>
      <c r="I51" s="38">
        <f>C51*3/100</f>
        <v>12351</v>
      </c>
      <c r="J51" s="2"/>
      <c r="K51" s="2"/>
      <c r="L51" s="2">
        <f>I51</f>
        <v>12351</v>
      </c>
      <c r="M51" s="8"/>
      <c r="N51" s="1"/>
      <c r="O51" s="1"/>
      <c r="P51" s="1"/>
      <c r="Q51" s="1"/>
      <c r="R51" s="1"/>
      <c r="S51" s="1"/>
      <c r="T51" s="198"/>
    </row>
    <row r="52" spans="1:20" ht="15.75">
      <c r="A52" s="3"/>
      <c r="B52" s="12"/>
      <c r="C52" s="5"/>
      <c r="D52" s="62"/>
      <c r="E52" s="18"/>
      <c r="F52" s="25"/>
      <c r="G52" s="5"/>
      <c r="H52" s="11"/>
      <c r="I52" s="38"/>
      <c r="J52" s="11"/>
      <c r="K52" s="11"/>
      <c r="L52" s="11"/>
      <c r="M52" s="8"/>
      <c r="N52" s="1"/>
      <c r="O52" s="1"/>
      <c r="P52" s="1"/>
      <c r="Q52" s="1"/>
      <c r="R52" s="1"/>
      <c r="S52" s="1"/>
      <c r="T52" s="198"/>
    </row>
    <row r="53" spans="1:20" ht="15.75">
      <c r="A53" s="3"/>
      <c r="B53" s="37" t="s">
        <v>6</v>
      </c>
      <c r="C53" s="2"/>
      <c r="D53" s="84"/>
      <c r="E53" s="18"/>
      <c r="F53" s="25"/>
      <c r="G53" s="203">
        <f>419940+281953+368299</f>
        <v>1070192</v>
      </c>
      <c r="H53" s="11"/>
      <c r="I53" s="38">
        <f>SUM(I8:I52)</f>
        <v>1070690.4583837807</v>
      </c>
      <c r="J53" s="38">
        <f>SUM(J8:J52)</f>
        <v>419939.5561839858</v>
      </c>
      <c r="K53" s="38">
        <f>SUM(K8:K52)</f>
        <v>281951.8330275685</v>
      </c>
      <c r="L53" s="38">
        <f>SUM(L8:L52)</f>
        <v>368799.0691722266</v>
      </c>
      <c r="M53" s="8"/>
      <c r="N53" s="1"/>
      <c r="O53" s="1"/>
      <c r="P53" s="1"/>
      <c r="Q53" s="1"/>
      <c r="R53" s="1"/>
      <c r="S53" s="1"/>
      <c r="T53" s="198"/>
    </row>
    <row r="54" spans="1:20" ht="15.75">
      <c r="A54" s="298" t="s">
        <v>129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300"/>
      <c r="T54" s="198"/>
    </row>
    <row r="55" spans="1:20" ht="19.5" customHeight="1">
      <c r="A55" s="298" t="s">
        <v>59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300"/>
      <c r="T55" s="198"/>
    </row>
    <row r="56" spans="1:20" ht="31.5">
      <c r="A56" s="75" t="s">
        <v>165</v>
      </c>
      <c r="B56" s="17" t="s">
        <v>73</v>
      </c>
      <c r="C56" s="2">
        <f>G56*N56</f>
        <v>550659</v>
      </c>
      <c r="D56" s="61"/>
      <c r="E56" s="33" t="s">
        <v>10</v>
      </c>
      <c r="F56" s="32">
        <f>63*0.89</f>
        <v>56.07</v>
      </c>
      <c r="G56" s="2">
        <v>550659</v>
      </c>
      <c r="H56" s="2">
        <v>83125</v>
      </c>
      <c r="I56" s="38">
        <f>H56*1/100</f>
        <v>831.25</v>
      </c>
      <c r="J56" s="11">
        <f>I56</f>
        <v>831.25</v>
      </c>
      <c r="K56" s="11"/>
      <c r="L56" s="11"/>
      <c r="M56" s="3" t="s">
        <v>87</v>
      </c>
      <c r="N56" s="1">
        <v>1</v>
      </c>
      <c r="O56" s="1" t="s">
        <v>5</v>
      </c>
      <c r="P56" s="1" t="s">
        <v>5</v>
      </c>
      <c r="Q56" s="1" t="s">
        <v>5</v>
      </c>
      <c r="R56" s="1" t="s">
        <v>5</v>
      </c>
      <c r="S56" s="1" t="s">
        <v>5</v>
      </c>
      <c r="T56" s="198"/>
    </row>
    <row r="57" spans="1:20" ht="47.25">
      <c r="A57" s="3" t="s">
        <v>179</v>
      </c>
      <c r="B57" s="16" t="s">
        <v>116</v>
      </c>
      <c r="C57" s="2">
        <f>G57*P57</f>
        <v>378840</v>
      </c>
      <c r="D57" s="61"/>
      <c r="E57" s="30"/>
      <c r="F57" s="34"/>
      <c r="G57" s="2">
        <v>757680</v>
      </c>
      <c r="H57" s="2"/>
      <c r="I57" s="38">
        <f>C57*3/100</f>
        <v>11365.2</v>
      </c>
      <c r="J57" s="11">
        <f>I57</f>
        <v>11365.2</v>
      </c>
      <c r="K57" s="11"/>
      <c r="L57" s="11"/>
      <c r="M57" s="3" t="s">
        <v>16</v>
      </c>
      <c r="N57" s="1" t="s">
        <v>5</v>
      </c>
      <c r="O57" s="1" t="s">
        <v>5</v>
      </c>
      <c r="P57" s="1">
        <v>0.5</v>
      </c>
      <c r="Q57" s="1" t="s">
        <v>5</v>
      </c>
      <c r="R57" s="1" t="s">
        <v>5</v>
      </c>
      <c r="S57" s="1" t="s">
        <v>5</v>
      </c>
      <c r="T57" s="198"/>
    </row>
    <row r="58" spans="1:20" ht="31.5">
      <c r="A58" s="3" t="s">
        <v>166</v>
      </c>
      <c r="B58" s="16" t="s">
        <v>84</v>
      </c>
      <c r="C58" s="2">
        <f>G58*S58</f>
        <v>219925.16</v>
      </c>
      <c r="D58" s="61"/>
      <c r="E58" s="33" t="s">
        <v>10</v>
      </c>
      <c r="F58" s="36">
        <v>15</v>
      </c>
      <c r="G58" s="2">
        <v>845866</v>
      </c>
      <c r="H58" s="2"/>
      <c r="I58" s="38">
        <f aca="true" t="shared" si="4" ref="I58:I65">C58*3/100</f>
        <v>6597.7548</v>
      </c>
      <c r="J58" s="11">
        <f>I58</f>
        <v>6597.7548</v>
      </c>
      <c r="K58" s="11"/>
      <c r="L58" s="11"/>
      <c r="M58" s="3" t="s">
        <v>85</v>
      </c>
      <c r="N58" s="1" t="s">
        <v>5</v>
      </c>
      <c r="O58" s="1" t="s">
        <v>5</v>
      </c>
      <c r="P58" s="1" t="s">
        <v>5</v>
      </c>
      <c r="Q58" s="1" t="s">
        <v>5</v>
      </c>
      <c r="R58" s="1" t="s">
        <v>5</v>
      </c>
      <c r="S58" s="1">
        <v>0.26</v>
      </c>
      <c r="T58" s="198"/>
    </row>
    <row r="59" spans="1:20" ht="31.5">
      <c r="A59" s="3" t="s">
        <v>167</v>
      </c>
      <c r="B59" s="16" t="s">
        <v>83</v>
      </c>
      <c r="C59" s="2">
        <f aca="true" t="shared" si="5" ref="C59:C65">G59*R59</f>
        <v>294544.5</v>
      </c>
      <c r="D59" s="61"/>
      <c r="E59" s="33" t="s">
        <v>10</v>
      </c>
      <c r="F59" s="36">
        <v>15</v>
      </c>
      <c r="G59" s="2">
        <v>589089</v>
      </c>
      <c r="H59" s="2"/>
      <c r="I59" s="38">
        <f t="shared" si="4"/>
        <v>8836.335</v>
      </c>
      <c r="J59" s="11">
        <f>I59</f>
        <v>8836.335</v>
      </c>
      <c r="K59" s="11"/>
      <c r="L59" s="11"/>
      <c r="M59" s="3" t="s">
        <v>86</v>
      </c>
      <c r="N59" s="1" t="s">
        <v>5</v>
      </c>
      <c r="O59" s="1" t="s">
        <v>5</v>
      </c>
      <c r="P59" s="1" t="s">
        <v>5</v>
      </c>
      <c r="Q59" s="1" t="s">
        <v>5</v>
      </c>
      <c r="R59" s="1">
        <v>0.5</v>
      </c>
      <c r="S59" s="1" t="s">
        <v>5</v>
      </c>
      <c r="T59" s="198"/>
    </row>
    <row r="60" spans="1:20" ht="47.25">
      <c r="A60" s="3" t="s">
        <v>168</v>
      </c>
      <c r="B60" s="16" t="s">
        <v>67</v>
      </c>
      <c r="C60" s="2">
        <f t="shared" si="5"/>
        <v>142202.24</v>
      </c>
      <c r="D60" s="61"/>
      <c r="E60" s="33" t="s">
        <v>10</v>
      </c>
      <c r="F60" s="36">
        <v>15</v>
      </c>
      <c r="G60" s="2">
        <v>888764</v>
      </c>
      <c r="H60" s="2"/>
      <c r="I60" s="38">
        <f t="shared" si="4"/>
        <v>4266.0671999999995</v>
      </c>
      <c r="J60" s="11"/>
      <c r="K60" s="11">
        <f>I60</f>
        <v>4266.0671999999995</v>
      </c>
      <c r="L60" s="11"/>
      <c r="M60" s="3" t="s">
        <v>88</v>
      </c>
      <c r="N60" s="1" t="s">
        <v>5</v>
      </c>
      <c r="O60" s="1" t="s">
        <v>5</v>
      </c>
      <c r="P60" s="1" t="s">
        <v>5</v>
      </c>
      <c r="Q60" s="1" t="s">
        <v>5</v>
      </c>
      <c r="R60" s="1">
        <v>0.16</v>
      </c>
      <c r="S60" s="1" t="s">
        <v>5</v>
      </c>
      <c r="T60" s="198"/>
    </row>
    <row r="61" spans="1:20" ht="47.25">
      <c r="A61" s="3" t="s">
        <v>169</v>
      </c>
      <c r="B61" s="16" t="s">
        <v>68</v>
      </c>
      <c r="C61" s="2">
        <f t="shared" si="5"/>
        <v>106651.68</v>
      </c>
      <c r="D61" s="61"/>
      <c r="E61" s="33" t="s">
        <v>10</v>
      </c>
      <c r="F61" s="36">
        <v>15</v>
      </c>
      <c r="G61" s="2">
        <v>888764</v>
      </c>
      <c r="H61" s="2"/>
      <c r="I61" s="38">
        <f t="shared" si="4"/>
        <v>3199.5503999999996</v>
      </c>
      <c r="J61" s="11"/>
      <c r="K61" s="11">
        <f>I61</f>
        <v>3199.5503999999996</v>
      </c>
      <c r="L61" s="11"/>
      <c r="M61" s="3" t="s">
        <v>88</v>
      </c>
      <c r="N61" s="1" t="s">
        <v>5</v>
      </c>
      <c r="O61" s="1" t="s">
        <v>5</v>
      </c>
      <c r="P61" s="1" t="s">
        <v>5</v>
      </c>
      <c r="Q61" s="1" t="s">
        <v>5</v>
      </c>
      <c r="R61" s="1">
        <v>0.12</v>
      </c>
      <c r="S61" s="1" t="s">
        <v>5</v>
      </c>
      <c r="T61" s="198"/>
    </row>
    <row r="62" spans="1:20" ht="47.25">
      <c r="A62" s="3" t="s">
        <v>170</v>
      </c>
      <c r="B62" s="16" t="s">
        <v>69</v>
      </c>
      <c r="C62" s="2">
        <f t="shared" si="5"/>
        <v>71101.12</v>
      </c>
      <c r="D62" s="61"/>
      <c r="E62" s="33" t="s">
        <v>10</v>
      </c>
      <c r="F62" s="36">
        <v>15</v>
      </c>
      <c r="G62" s="2">
        <v>888764</v>
      </c>
      <c r="H62" s="2"/>
      <c r="I62" s="38">
        <f t="shared" si="4"/>
        <v>2133.0335999999998</v>
      </c>
      <c r="J62" s="11"/>
      <c r="K62" s="11">
        <f>I62</f>
        <v>2133.0335999999998</v>
      </c>
      <c r="L62" s="11"/>
      <c r="M62" s="3" t="s">
        <v>88</v>
      </c>
      <c r="N62" s="1" t="s">
        <v>5</v>
      </c>
      <c r="O62" s="1" t="s">
        <v>5</v>
      </c>
      <c r="P62" s="1" t="s">
        <v>5</v>
      </c>
      <c r="Q62" s="1" t="s">
        <v>5</v>
      </c>
      <c r="R62" s="1">
        <v>0.08</v>
      </c>
      <c r="S62" s="1" t="s">
        <v>5</v>
      </c>
      <c r="T62" s="198"/>
    </row>
    <row r="63" spans="1:20" ht="47.25">
      <c r="A63" s="3" t="s">
        <v>171</v>
      </c>
      <c r="B63" s="16" t="s">
        <v>70</v>
      </c>
      <c r="C63" s="2">
        <f t="shared" si="5"/>
        <v>74630.56</v>
      </c>
      <c r="D63" s="61"/>
      <c r="E63" s="33" t="s">
        <v>10</v>
      </c>
      <c r="F63" s="36">
        <v>15</v>
      </c>
      <c r="G63" s="2">
        <v>932882</v>
      </c>
      <c r="H63" s="2"/>
      <c r="I63" s="38">
        <f t="shared" si="4"/>
        <v>2238.9168</v>
      </c>
      <c r="J63" s="11"/>
      <c r="K63" s="11"/>
      <c r="L63" s="11">
        <f>I63</f>
        <v>2238.9168</v>
      </c>
      <c r="M63" s="3" t="s">
        <v>88</v>
      </c>
      <c r="N63" s="1" t="s">
        <v>5</v>
      </c>
      <c r="O63" s="1" t="s">
        <v>5</v>
      </c>
      <c r="P63" s="1" t="s">
        <v>5</v>
      </c>
      <c r="Q63" s="1" t="s">
        <v>5</v>
      </c>
      <c r="R63" s="1">
        <v>0.08</v>
      </c>
      <c r="S63" s="1" t="s">
        <v>5</v>
      </c>
      <c r="T63" s="198"/>
    </row>
    <row r="64" spans="1:20" ht="47.25">
      <c r="A64" s="3" t="s">
        <v>172</v>
      </c>
      <c r="B64" s="16" t="s">
        <v>71</v>
      </c>
      <c r="C64" s="2">
        <f t="shared" si="5"/>
        <v>149261.12</v>
      </c>
      <c r="D64" s="61"/>
      <c r="E64" s="33" t="s">
        <v>10</v>
      </c>
      <c r="F64" s="36">
        <v>15</v>
      </c>
      <c r="G64" s="2">
        <v>932882</v>
      </c>
      <c r="H64" s="2"/>
      <c r="I64" s="38">
        <f t="shared" si="4"/>
        <v>4477.8336</v>
      </c>
      <c r="J64" s="11"/>
      <c r="K64" s="11"/>
      <c r="L64" s="11">
        <f>I64</f>
        <v>4477.8336</v>
      </c>
      <c r="M64" s="3" t="s">
        <v>88</v>
      </c>
      <c r="N64" s="1" t="s">
        <v>5</v>
      </c>
      <c r="O64" s="1" t="s">
        <v>5</v>
      </c>
      <c r="P64" s="1" t="s">
        <v>5</v>
      </c>
      <c r="Q64" s="1" t="s">
        <v>5</v>
      </c>
      <c r="R64" s="1">
        <v>0.16</v>
      </c>
      <c r="S64" s="1" t="s">
        <v>5</v>
      </c>
      <c r="T64" s="198"/>
    </row>
    <row r="65" spans="1:20" ht="31.5">
      <c r="A65" s="3" t="s">
        <v>173</v>
      </c>
      <c r="B65" s="12" t="s">
        <v>72</v>
      </c>
      <c r="C65" s="2">
        <f t="shared" si="5"/>
        <v>37315.28</v>
      </c>
      <c r="D65" s="61"/>
      <c r="E65" s="33" t="s">
        <v>10</v>
      </c>
      <c r="F65" s="36">
        <v>15</v>
      </c>
      <c r="G65" s="2">
        <v>932882</v>
      </c>
      <c r="H65" s="2"/>
      <c r="I65" s="38">
        <f t="shared" si="4"/>
        <v>1119.4584</v>
      </c>
      <c r="J65" s="11"/>
      <c r="K65" s="11"/>
      <c r="L65" s="11">
        <f>I65</f>
        <v>1119.4584</v>
      </c>
      <c r="M65" s="3" t="s">
        <v>88</v>
      </c>
      <c r="N65" s="1" t="s">
        <v>5</v>
      </c>
      <c r="O65" s="1" t="s">
        <v>5</v>
      </c>
      <c r="P65" s="1" t="s">
        <v>5</v>
      </c>
      <c r="Q65" s="1" t="s">
        <v>5</v>
      </c>
      <c r="R65" s="1">
        <v>0.04</v>
      </c>
      <c r="S65" s="1" t="s">
        <v>5</v>
      </c>
      <c r="T65" s="198"/>
    </row>
    <row r="66" spans="1:20" ht="19.5" customHeight="1">
      <c r="A66" s="298" t="s">
        <v>77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300"/>
      <c r="T66" s="198"/>
    </row>
    <row r="67" spans="1:20" ht="31.5">
      <c r="A67" s="73" t="s">
        <v>174</v>
      </c>
      <c r="B67" s="13" t="s">
        <v>62</v>
      </c>
      <c r="C67" s="2">
        <f>G67</f>
        <v>743139</v>
      </c>
      <c r="D67" s="61"/>
      <c r="E67" s="18" t="s">
        <v>10</v>
      </c>
      <c r="F67" s="32">
        <f>2*100*0.89</f>
        <v>178</v>
      </c>
      <c r="G67" s="2">
        <v>743139</v>
      </c>
      <c r="H67" s="2">
        <f>83125*1.048*1.029</f>
        <v>89641.33499999999</v>
      </c>
      <c r="I67" s="38">
        <f>H67*1/100</f>
        <v>896.4133499999999</v>
      </c>
      <c r="J67" s="11">
        <f>I67</f>
        <v>896.4133499999999</v>
      </c>
      <c r="K67" s="11"/>
      <c r="L67" s="11"/>
      <c r="M67" s="8" t="s">
        <v>81</v>
      </c>
      <c r="N67" s="1">
        <v>1</v>
      </c>
      <c r="O67" s="1" t="s">
        <v>5</v>
      </c>
      <c r="P67" s="1" t="s">
        <v>5</v>
      </c>
      <c r="Q67" s="1" t="s">
        <v>5</v>
      </c>
      <c r="R67" s="1" t="s">
        <v>5</v>
      </c>
      <c r="S67" s="1" t="s">
        <v>5</v>
      </c>
      <c r="T67" s="198"/>
    </row>
    <row r="68" spans="1:20" ht="31.5">
      <c r="A68" s="3" t="s">
        <v>175</v>
      </c>
      <c r="B68" s="12" t="s">
        <v>47</v>
      </c>
      <c r="C68" s="2">
        <f>G68*Q68</f>
        <v>305755.2</v>
      </c>
      <c r="D68" s="61"/>
      <c r="E68" s="18"/>
      <c r="F68" s="28"/>
      <c r="G68" s="2">
        <v>1019184</v>
      </c>
      <c r="H68" s="2"/>
      <c r="I68" s="38">
        <f>C68*3/100</f>
        <v>9172.656</v>
      </c>
      <c r="J68" s="11">
        <f>I68</f>
        <v>9172.656</v>
      </c>
      <c r="K68" s="11"/>
      <c r="L68" s="11"/>
      <c r="M68" s="8" t="s">
        <v>17</v>
      </c>
      <c r="N68" s="1" t="s">
        <v>5</v>
      </c>
      <c r="O68" s="1" t="s">
        <v>5</v>
      </c>
      <c r="P68" s="1" t="s">
        <v>5</v>
      </c>
      <c r="Q68" s="1">
        <v>0.3</v>
      </c>
      <c r="R68" s="1" t="s">
        <v>5</v>
      </c>
      <c r="S68" s="1" t="s">
        <v>5</v>
      </c>
      <c r="T68" s="198"/>
    </row>
    <row r="69" spans="1:20" ht="31.5">
      <c r="A69" s="3" t="s">
        <v>176</v>
      </c>
      <c r="B69" s="12" t="s">
        <v>48</v>
      </c>
      <c r="C69" s="2">
        <f>G69*Q69</f>
        <v>575838.96</v>
      </c>
      <c r="D69" s="61"/>
      <c r="E69" s="18"/>
      <c r="F69" s="28"/>
      <c r="G69" s="2">
        <v>1019184</v>
      </c>
      <c r="H69" s="2"/>
      <c r="I69" s="38">
        <f>C69*3/100</f>
        <v>17275.1688</v>
      </c>
      <c r="J69" s="11">
        <f>I69</f>
        <v>17275.1688</v>
      </c>
      <c r="K69" s="11"/>
      <c r="L69" s="11"/>
      <c r="M69" s="8" t="s">
        <v>17</v>
      </c>
      <c r="N69" s="1" t="s">
        <v>5</v>
      </c>
      <c r="O69" s="1" t="s">
        <v>5</v>
      </c>
      <c r="P69" s="1" t="s">
        <v>5</v>
      </c>
      <c r="Q69" s="1">
        <v>0.565</v>
      </c>
      <c r="R69" s="1" t="s">
        <v>5</v>
      </c>
      <c r="S69" s="1" t="s">
        <v>5</v>
      </c>
      <c r="T69" s="198"/>
    </row>
    <row r="70" spans="1:20" ht="31.5">
      <c r="A70" s="73" t="s">
        <v>177</v>
      </c>
      <c r="B70" s="13" t="s">
        <v>64</v>
      </c>
      <c r="C70" s="2">
        <f>G70*N70</f>
        <v>420407</v>
      </c>
      <c r="D70" s="61"/>
      <c r="E70" s="18" t="s">
        <v>10</v>
      </c>
      <c r="F70" s="32">
        <f>100*0.89</f>
        <v>89</v>
      </c>
      <c r="G70" s="2">
        <v>420407</v>
      </c>
      <c r="H70" s="2">
        <f>83125*1.048*1.029</f>
        <v>89641.33499999999</v>
      </c>
      <c r="I70" s="38">
        <f>H70*1/100</f>
        <v>896.4133499999999</v>
      </c>
      <c r="J70" s="11">
        <f>I70</f>
        <v>896.4133499999999</v>
      </c>
      <c r="K70" s="11"/>
      <c r="L70" s="11"/>
      <c r="M70" s="8" t="s">
        <v>18</v>
      </c>
      <c r="N70" s="1">
        <v>1</v>
      </c>
      <c r="O70" s="1" t="s">
        <v>5</v>
      </c>
      <c r="P70" s="1" t="s">
        <v>5</v>
      </c>
      <c r="Q70" s="1" t="s">
        <v>5</v>
      </c>
      <c r="R70" s="1" t="s">
        <v>5</v>
      </c>
      <c r="S70" s="1" t="s">
        <v>5</v>
      </c>
      <c r="T70" s="198"/>
    </row>
    <row r="71" spans="1:20" ht="31.5">
      <c r="A71" s="3" t="s">
        <v>180</v>
      </c>
      <c r="B71" s="12" t="s">
        <v>49</v>
      </c>
      <c r="C71" s="2">
        <f>G71*Q71</f>
        <v>662469.6</v>
      </c>
      <c r="D71" s="61"/>
      <c r="E71" s="18"/>
      <c r="F71" s="28"/>
      <c r="G71" s="2">
        <v>1019184</v>
      </c>
      <c r="H71" s="2"/>
      <c r="I71" s="38">
        <f>C71*3/100</f>
        <v>19874.088</v>
      </c>
      <c r="J71" s="11">
        <f>I71</f>
        <v>19874.088</v>
      </c>
      <c r="K71" s="11"/>
      <c r="L71" s="11"/>
      <c r="M71" s="8" t="s">
        <v>17</v>
      </c>
      <c r="N71" s="1" t="s">
        <v>5</v>
      </c>
      <c r="O71" s="1" t="s">
        <v>5</v>
      </c>
      <c r="P71" s="1" t="s">
        <v>5</v>
      </c>
      <c r="Q71" s="1">
        <v>0.65</v>
      </c>
      <c r="R71" s="1" t="s">
        <v>5</v>
      </c>
      <c r="S71" s="1" t="s">
        <v>5</v>
      </c>
      <c r="T71" s="198"/>
    </row>
    <row r="72" spans="1:20" ht="31.5">
      <c r="A72" s="73" t="s">
        <v>178</v>
      </c>
      <c r="B72" s="13" t="s">
        <v>63</v>
      </c>
      <c r="C72" s="2">
        <f>G72</f>
        <v>484479</v>
      </c>
      <c r="D72" s="61"/>
      <c r="E72" s="18" t="s">
        <v>10</v>
      </c>
      <c r="F72" s="28">
        <f>160*0.89</f>
        <v>142.4</v>
      </c>
      <c r="G72" s="2">
        <v>484479</v>
      </c>
      <c r="H72" s="2">
        <f>83125*1.048*1.058*1.031</f>
        <v>95024.86777</v>
      </c>
      <c r="I72" s="38">
        <f>H72*1/100</f>
        <v>950.2486776999999</v>
      </c>
      <c r="J72" s="11"/>
      <c r="K72" s="11">
        <f>I72</f>
        <v>950.2486776999999</v>
      </c>
      <c r="L72" s="11"/>
      <c r="M72" s="8" t="s">
        <v>15</v>
      </c>
      <c r="N72" s="1">
        <v>1</v>
      </c>
      <c r="O72" s="1" t="s">
        <v>5</v>
      </c>
      <c r="P72" s="1" t="s">
        <v>5</v>
      </c>
      <c r="Q72" s="1" t="s">
        <v>5</v>
      </c>
      <c r="R72" s="1" t="s">
        <v>5</v>
      </c>
      <c r="S72" s="1" t="s">
        <v>5</v>
      </c>
      <c r="T72" s="198"/>
    </row>
    <row r="73" spans="1:20" ht="31.5">
      <c r="A73" s="3" t="s">
        <v>181</v>
      </c>
      <c r="B73" s="12" t="s">
        <v>50</v>
      </c>
      <c r="C73" s="2">
        <f>G73*P73</f>
        <v>481910.39999999997</v>
      </c>
      <c r="D73" s="61"/>
      <c r="E73" s="18"/>
      <c r="F73" s="28"/>
      <c r="G73" s="2">
        <v>803184</v>
      </c>
      <c r="H73" s="2"/>
      <c r="I73" s="38">
        <f>C73*3/100</f>
        <v>14457.312</v>
      </c>
      <c r="J73" s="11"/>
      <c r="K73" s="11">
        <f>I73</f>
        <v>14457.312</v>
      </c>
      <c r="L73" s="11"/>
      <c r="M73" s="8" t="s">
        <v>16</v>
      </c>
      <c r="N73" s="1" t="s">
        <v>5</v>
      </c>
      <c r="O73" s="1" t="s">
        <v>5</v>
      </c>
      <c r="P73" s="1">
        <v>0.6</v>
      </c>
      <c r="Q73" s="1" t="s">
        <v>5</v>
      </c>
      <c r="R73" s="1" t="s">
        <v>5</v>
      </c>
      <c r="S73" s="1" t="s">
        <v>5</v>
      </c>
      <c r="T73" s="198"/>
    </row>
    <row r="74" spans="1:20" ht="31.5">
      <c r="A74" s="73" t="s">
        <v>182</v>
      </c>
      <c r="B74" s="13" t="s">
        <v>65</v>
      </c>
      <c r="C74" s="2">
        <f>G74*N74</f>
        <v>1066705</v>
      </c>
      <c r="D74" s="61"/>
      <c r="E74" s="18" t="s">
        <v>10</v>
      </c>
      <c r="F74" s="32">
        <f>2*250*0.89</f>
        <v>445</v>
      </c>
      <c r="G74" s="2">
        <v>1066705</v>
      </c>
      <c r="H74" s="2">
        <f>235470*1.048*1.058*1.031</f>
        <v>269179.01490288</v>
      </c>
      <c r="I74" s="38">
        <f>H74*1/100</f>
        <v>2691.7901490288</v>
      </c>
      <c r="J74" s="11"/>
      <c r="K74" s="11">
        <f>I74</f>
        <v>2691.7901490288</v>
      </c>
      <c r="L74" s="11"/>
      <c r="M74" s="8" t="s">
        <v>76</v>
      </c>
      <c r="N74" s="1">
        <v>1</v>
      </c>
      <c r="O74" s="1" t="s">
        <v>5</v>
      </c>
      <c r="P74" s="1" t="s">
        <v>5</v>
      </c>
      <c r="Q74" s="1" t="s">
        <v>5</v>
      </c>
      <c r="R74" s="1" t="s">
        <v>5</v>
      </c>
      <c r="S74" s="1" t="s">
        <v>5</v>
      </c>
      <c r="T74" s="198"/>
    </row>
    <row r="75" spans="1:20" ht="31.5">
      <c r="A75" s="3" t="s">
        <v>183</v>
      </c>
      <c r="B75" s="12" t="s">
        <v>51</v>
      </c>
      <c r="C75" s="2">
        <f>G75*Q75</f>
        <v>248490.16</v>
      </c>
      <c r="D75" s="61"/>
      <c r="E75" s="18"/>
      <c r="F75" s="28"/>
      <c r="G75" s="2">
        <v>1080392</v>
      </c>
      <c r="H75" s="2"/>
      <c r="I75" s="38">
        <f>C75*3/100</f>
        <v>7454.7047999999995</v>
      </c>
      <c r="J75" s="11"/>
      <c r="K75" s="11">
        <f>I75</f>
        <v>7454.7047999999995</v>
      </c>
      <c r="L75" s="11"/>
      <c r="M75" s="8" t="s">
        <v>17</v>
      </c>
      <c r="N75" s="1" t="s">
        <v>5</v>
      </c>
      <c r="O75" s="1" t="s">
        <v>5</v>
      </c>
      <c r="P75" s="1" t="s">
        <v>5</v>
      </c>
      <c r="Q75" s="1">
        <v>0.23</v>
      </c>
      <c r="R75" s="1" t="s">
        <v>5</v>
      </c>
      <c r="S75" s="1" t="s">
        <v>5</v>
      </c>
      <c r="T75" s="198"/>
    </row>
    <row r="76" spans="1:20" ht="31.5">
      <c r="A76" s="3" t="s">
        <v>184</v>
      </c>
      <c r="B76" s="12" t="s">
        <v>52</v>
      </c>
      <c r="C76" s="2">
        <f>G76*Q76</f>
        <v>162058.8</v>
      </c>
      <c r="D76" s="61"/>
      <c r="E76" s="18"/>
      <c r="F76" s="28"/>
      <c r="G76" s="2">
        <v>1080392</v>
      </c>
      <c r="H76" s="2"/>
      <c r="I76" s="38">
        <f>C76*3/100</f>
        <v>4861.763999999999</v>
      </c>
      <c r="J76" s="11"/>
      <c r="K76" s="11">
        <f>I76</f>
        <v>4861.763999999999</v>
      </c>
      <c r="L76" s="11"/>
      <c r="M76" s="8" t="s">
        <v>17</v>
      </c>
      <c r="N76" s="1" t="s">
        <v>5</v>
      </c>
      <c r="O76" s="1" t="s">
        <v>5</v>
      </c>
      <c r="P76" s="1" t="s">
        <v>5</v>
      </c>
      <c r="Q76" s="1">
        <v>0.15</v>
      </c>
      <c r="R76" s="1" t="s">
        <v>5</v>
      </c>
      <c r="S76" s="1" t="s">
        <v>5</v>
      </c>
      <c r="T76" s="198"/>
    </row>
    <row r="77" spans="1:20" ht="31.5">
      <c r="A77" s="73" t="s">
        <v>185</v>
      </c>
      <c r="B77" s="13" t="s">
        <v>66</v>
      </c>
      <c r="C77" s="2">
        <f>G77*N77</f>
        <v>508528</v>
      </c>
      <c r="D77" s="61"/>
      <c r="E77" s="18" t="s">
        <v>10</v>
      </c>
      <c r="F77" s="28">
        <f>160*0.89</f>
        <v>142.4</v>
      </c>
      <c r="G77" s="2">
        <v>508528</v>
      </c>
      <c r="H77" s="2">
        <f>83125*1.048*1.058*1.062*1.019</f>
        <v>99741.82478525999</v>
      </c>
      <c r="I77" s="38">
        <f>H77*1/100</f>
        <v>997.4182478525998</v>
      </c>
      <c r="J77" s="11"/>
      <c r="K77" s="11"/>
      <c r="L77" s="11">
        <f>I77</f>
        <v>997.4182478525998</v>
      </c>
      <c r="M77" s="8" t="s">
        <v>15</v>
      </c>
      <c r="N77" s="1">
        <v>1</v>
      </c>
      <c r="O77" s="1" t="s">
        <v>5</v>
      </c>
      <c r="P77" s="1" t="s">
        <v>5</v>
      </c>
      <c r="Q77" s="1" t="s">
        <v>5</v>
      </c>
      <c r="R77" s="1" t="s">
        <v>5</v>
      </c>
      <c r="S77" s="1" t="s">
        <v>5</v>
      </c>
      <c r="T77" s="198"/>
    </row>
    <row r="78" spans="1:20" ht="47.25">
      <c r="A78" s="3" t="s">
        <v>186</v>
      </c>
      <c r="B78" s="12" t="s">
        <v>115</v>
      </c>
      <c r="C78" s="2">
        <f>G78*Q78</f>
        <v>158763.08000000002</v>
      </c>
      <c r="D78" s="61"/>
      <c r="E78" s="18"/>
      <c r="F78" s="28"/>
      <c r="G78" s="2">
        <v>1134022</v>
      </c>
      <c r="H78" s="2"/>
      <c r="I78" s="38">
        <f aca="true" t="shared" si="6" ref="I78:I84">C78*3/100</f>
        <v>4762.892400000001</v>
      </c>
      <c r="J78" s="11"/>
      <c r="K78" s="11"/>
      <c r="L78" s="11">
        <f aca="true" t="shared" si="7" ref="L78:L84">I78</f>
        <v>4762.892400000001</v>
      </c>
      <c r="M78" s="8" t="s">
        <v>17</v>
      </c>
      <c r="N78" s="1" t="s">
        <v>5</v>
      </c>
      <c r="O78" s="1" t="s">
        <v>5</v>
      </c>
      <c r="P78" s="1" t="s">
        <v>5</v>
      </c>
      <c r="Q78" s="1">
        <v>0.14</v>
      </c>
      <c r="R78" s="1" t="s">
        <v>5</v>
      </c>
      <c r="S78" s="1" t="s">
        <v>5</v>
      </c>
      <c r="T78" s="198"/>
    </row>
    <row r="79" spans="1:20" ht="31.5">
      <c r="A79" s="3" t="s">
        <v>187</v>
      </c>
      <c r="B79" s="12" t="s">
        <v>53</v>
      </c>
      <c r="C79" s="2">
        <f>G79*S79</f>
        <v>141176.25</v>
      </c>
      <c r="D79" s="61"/>
      <c r="E79" s="18" t="s">
        <v>10</v>
      </c>
      <c r="F79" s="28">
        <v>95</v>
      </c>
      <c r="G79" s="2">
        <v>941175</v>
      </c>
      <c r="H79" s="2"/>
      <c r="I79" s="38">
        <f t="shared" si="6"/>
        <v>4235.2875</v>
      </c>
      <c r="J79" s="11"/>
      <c r="K79" s="11"/>
      <c r="L79" s="11">
        <f t="shared" si="7"/>
        <v>4235.2875</v>
      </c>
      <c r="M79" s="8" t="s">
        <v>19</v>
      </c>
      <c r="N79" s="1" t="s">
        <v>5</v>
      </c>
      <c r="O79" s="1" t="s">
        <v>5</v>
      </c>
      <c r="P79" s="1" t="s">
        <v>5</v>
      </c>
      <c r="Q79" s="1" t="s">
        <v>5</v>
      </c>
      <c r="R79" s="1" t="s">
        <v>5</v>
      </c>
      <c r="S79" s="1">
        <v>0.15</v>
      </c>
      <c r="T79" s="198"/>
    </row>
    <row r="80" spans="1:20" ht="31.5">
      <c r="A80" s="3" t="s">
        <v>188</v>
      </c>
      <c r="B80" s="12" t="s">
        <v>54</v>
      </c>
      <c r="C80" s="2">
        <f>G80*S80</f>
        <v>414117</v>
      </c>
      <c r="D80" s="61"/>
      <c r="E80" s="18" t="s">
        <v>10</v>
      </c>
      <c r="F80" s="28">
        <v>120</v>
      </c>
      <c r="G80" s="2">
        <v>941175</v>
      </c>
      <c r="H80" s="2"/>
      <c r="I80" s="38">
        <f t="shared" si="6"/>
        <v>12423.51</v>
      </c>
      <c r="J80" s="11"/>
      <c r="K80" s="11"/>
      <c r="L80" s="11">
        <f t="shared" si="7"/>
        <v>12423.51</v>
      </c>
      <c r="M80" s="8" t="s">
        <v>19</v>
      </c>
      <c r="N80" s="1" t="s">
        <v>5</v>
      </c>
      <c r="O80" s="1" t="s">
        <v>5</v>
      </c>
      <c r="P80" s="1" t="s">
        <v>5</v>
      </c>
      <c r="Q80" s="1" t="s">
        <v>5</v>
      </c>
      <c r="R80" s="1" t="s">
        <v>5</v>
      </c>
      <c r="S80" s="1">
        <v>0.44</v>
      </c>
      <c r="T80" s="198"/>
    </row>
    <row r="81" spans="1:20" ht="31.5">
      <c r="A81" s="3" t="s">
        <v>189</v>
      </c>
      <c r="B81" s="12" t="s">
        <v>55</v>
      </c>
      <c r="C81" s="2">
        <f>G81*S81</f>
        <v>32941.125</v>
      </c>
      <c r="D81" s="61"/>
      <c r="E81" s="18" t="s">
        <v>10</v>
      </c>
      <c r="F81" s="28">
        <v>100</v>
      </c>
      <c r="G81" s="2">
        <v>941175</v>
      </c>
      <c r="H81" s="2"/>
      <c r="I81" s="38">
        <f t="shared" si="6"/>
        <v>988.23375</v>
      </c>
      <c r="J81" s="11"/>
      <c r="K81" s="11"/>
      <c r="L81" s="11">
        <f t="shared" si="7"/>
        <v>988.23375</v>
      </c>
      <c r="M81" s="8" t="s">
        <v>19</v>
      </c>
      <c r="N81" s="1" t="s">
        <v>5</v>
      </c>
      <c r="O81" s="1" t="s">
        <v>5</v>
      </c>
      <c r="P81" s="1" t="s">
        <v>5</v>
      </c>
      <c r="Q81" s="1" t="s">
        <v>5</v>
      </c>
      <c r="R81" s="1" t="s">
        <v>5</v>
      </c>
      <c r="S81" s="1">
        <v>0.035</v>
      </c>
      <c r="T81" s="198"/>
    </row>
    <row r="82" spans="1:20" ht="31.5">
      <c r="A82" s="3" t="s">
        <v>190</v>
      </c>
      <c r="B82" s="12" t="s">
        <v>56</v>
      </c>
      <c r="C82" s="2">
        <f>G82*S82</f>
        <v>235293.75</v>
      </c>
      <c r="D82" s="61"/>
      <c r="E82" s="18" t="s">
        <v>10</v>
      </c>
      <c r="F82" s="28">
        <v>100</v>
      </c>
      <c r="G82" s="2">
        <v>941175</v>
      </c>
      <c r="H82" s="2"/>
      <c r="I82" s="38">
        <f t="shared" si="6"/>
        <v>7058.8125</v>
      </c>
      <c r="J82" s="11"/>
      <c r="K82" s="11"/>
      <c r="L82" s="11">
        <f t="shared" si="7"/>
        <v>7058.8125</v>
      </c>
      <c r="M82" s="8" t="s">
        <v>19</v>
      </c>
      <c r="N82" s="1" t="s">
        <v>5</v>
      </c>
      <c r="O82" s="1" t="s">
        <v>5</v>
      </c>
      <c r="P82" s="1" t="s">
        <v>5</v>
      </c>
      <c r="Q82" s="1" t="s">
        <v>5</v>
      </c>
      <c r="R82" s="1" t="s">
        <v>5</v>
      </c>
      <c r="S82" s="1">
        <v>0.25</v>
      </c>
      <c r="T82" s="198"/>
    </row>
    <row r="83" spans="1:20" ht="15.75">
      <c r="A83" s="3" t="s">
        <v>191</v>
      </c>
      <c r="B83" s="12" t="s">
        <v>57</v>
      </c>
      <c r="C83" s="2">
        <f>G83*R83</f>
        <v>118510.525</v>
      </c>
      <c r="D83" s="61"/>
      <c r="E83" s="18" t="s">
        <v>10</v>
      </c>
      <c r="F83" s="28">
        <v>20</v>
      </c>
      <c r="G83" s="2">
        <v>677203</v>
      </c>
      <c r="H83" s="2"/>
      <c r="I83" s="38">
        <f t="shared" si="6"/>
        <v>3555.3157499999998</v>
      </c>
      <c r="J83" s="11"/>
      <c r="K83" s="11"/>
      <c r="L83" s="11">
        <f t="shared" si="7"/>
        <v>3555.3157499999998</v>
      </c>
      <c r="M83" s="8" t="s">
        <v>82</v>
      </c>
      <c r="N83" s="1" t="s">
        <v>5</v>
      </c>
      <c r="O83" s="1" t="s">
        <v>5</v>
      </c>
      <c r="P83" s="1" t="s">
        <v>5</v>
      </c>
      <c r="Q83" s="1" t="s">
        <v>5</v>
      </c>
      <c r="R83" s="1">
        <v>0.175</v>
      </c>
      <c r="S83" s="1" t="s">
        <v>5</v>
      </c>
      <c r="T83" s="198"/>
    </row>
    <row r="84" spans="1:20" ht="15.75">
      <c r="A84" s="3" t="s">
        <v>192</v>
      </c>
      <c r="B84" s="12" t="s">
        <v>58</v>
      </c>
      <c r="C84" s="2">
        <f>G84*R84</f>
        <v>212641.742</v>
      </c>
      <c r="D84" s="61"/>
      <c r="E84" s="18" t="s">
        <v>10</v>
      </c>
      <c r="F84" s="28">
        <v>25</v>
      </c>
      <c r="G84" s="2">
        <v>677203</v>
      </c>
      <c r="H84" s="2"/>
      <c r="I84" s="38">
        <f t="shared" si="6"/>
        <v>6379.25226</v>
      </c>
      <c r="J84" s="11"/>
      <c r="K84" s="11"/>
      <c r="L84" s="11">
        <f t="shared" si="7"/>
        <v>6379.25226</v>
      </c>
      <c r="M84" s="8" t="s">
        <v>82</v>
      </c>
      <c r="N84" s="1" t="s">
        <v>5</v>
      </c>
      <c r="O84" s="1" t="s">
        <v>5</v>
      </c>
      <c r="P84" s="1" t="s">
        <v>5</v>
      </c>
      <c r="Q84" s="1" t="s">
        <v>5</v>
      </c>
      <c r="R84" s="1">
        <v>0.314</v>
      </c>
      <c r="S84" s="1" t="s">
        <v>5</v>
      </c>
      <c r="T84" s="198"/>
    </row>
    <row r="85" spans="1:20" ht="19.5" customHeight="1">
      <c r="A85" s="298" t="s">
        <v>78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300"/>
      <c r="T85" s="198"/>
    </row>
    <row r="86" spans="1:20" ht="31.5">
      <c r="A86" s="73" t="s">
        <v>193</v>
      </c>
      <c r="B86" s="15" t="s">
        <v>60</v>
      </c>
      <c r="C86" s="2">
        <f>G86*N86</f>
        <v>502791</v>
      </c>
      <c r="D86" s="61"/>
      <c r="E86" s="18" t="s">
        <v>10</v>
      </c>
      <c r="F86" s="20">
        <f>250*0.89</f>
        <v>222.5</v>
      </c>
      <c r="G86" s="2">
        <v>502791</v>
      </c>
      <c r="H86" s="2">
        <f>136841*1.048*1.058*1.031</f>
        <v>156430.65179566402</v>
      </c>
      <c r="I86" s="38">
        <f>H86*1/100</f>
        <v>1564.3065179566402</v>
      </c>
      <c r="J86" s="11">
        <f>I86</f>
        <v>1564.3065179566402</v>
      </c>
      <c r="K86" s="11"/>
      <c r="L86" s="11"/>
      <c r="M86" s="8" t="s">
        <v>75</v>
      </c>
      <c r="N86" s="1">
        <v>1</v>
      </c>
      <c r="O86" s="1" t="s">
        <v>5</v>
      </c>
      <c r="P86" s="1" t="s">
        <v>5</v>
      </c>
      <c r="Q86" s="1" t="s">
        <v>5</v>
      </c>
      <c r="R86" s="1" t="s">
        <v>5</v>
      </c>
      <c r="S86" s="1" t="s">
        <v>5</v>
      </c>
      <c r="T86" s="198"/>
    </row>
    <row r="87" spans="1:20" ht="47.25">
      <c r="A87" s="3" t="s">
        <v>196</v>
      </c>
      <c r="B87" s="14" t="s">
        <v>41</v>
      </c>
      <c r="C87" s="2">
        <f>P87*G87</f>
        <v>151536</v>
      </c>
      <c r="D87" s="61"/>
      <c r="E87" s="18"/>
      <c r="F87" s="31"/>
      <c r="G87" s="11">
        <v>757680</v>
      </c>
      <c r="H87" s="11"/>
      <c r="I87" s="38">
        <f>C87*3/100</f>
        <v>4546.08</v>
      </c>
      <c r="J87" s="11">
        <f>I87</f>
        <v>4546.08</v>
      </c>
      <c r="K87" s="11"/>
      <c r="L87" s="11"/>
      <c r="M87" s="8" t="s">
        <v>16</v>
      </c>
      <c r="N87" s="1" t="s">
        <v>5</v>
      </c>
      <c r="O87" s="1" t="s">
        <v>5</v>
      </c>
      <c r="P87" s="1">
        <v>0.2</v>
      </c>
      <c r="Q87" s="1" t="s">
        <v>5</v>
      </c>
      <c r="R87" s="1" t="s">
        <v>5</v>
      </c>
      <c r="S87" s="1" t="s">
        <v>5</v>
      </c>
      <c r="T87" s="198"/>
    </row>
    <row r="88" spans="1:20" s="6" customFormat="1" ht="31.5">
      <c r="A88" s="3" t="s">
        <v>217</v>
      </c>
      <c r="B88" s="14" t="s">
        <v>205</v>
      </c>
      <c r="C88" s="2">
        <f>G88*S88</f>
        <v>200668</v>
      </c>
      <c r="D88" s="61"/>
      <c r="E88" s="18" t="s">
        <v>10</v>
      </c>
      <c r="F88" s="36">
        <v>200</v>
      </c>
      <c r="G88" s="2">
        <v>1003340</v>
      </c>
      <c r="H88" s="116"/>
      <c r="I88" s="156">
        <f>C88*3/100</f>
        <v>6020.04</v>
      </c>
      <c r="J88" s="116">
        <f>I88</f>
        <v>6020.04</v>
      </c>
      <c r="K88" s="116"/>
      <c r="L88" s="116"/>
      <c r="M88" s="8" t="s">
        <v>216</v>
      </c>
      <c r="N88" s="1" t="s">
        <v>5</v>
      </c>
      <c r="O88" s="1" t="s">
        <v>5</v>
      </c>
      <c r="P88" s="1" t="s">
        <v>5</v>
      </c>
      <c r="Q88" s="1" t="s">
        <v>5</v>
      </c>
      <c r="R88" s="1" t="s">
        <v>5</v>
      </c>
      <c r="S88" s="1">
        <v>0.2</v>
      </c>
      <c r="T88" s="199"/>
    </row>
    <row r="89" spans="1:20" s="6" customFormat="1" ht="31.5">
      <c r="A89" s="3" t="s">
        <v>194</v>
      </c>
      <c r="B89" s="13" t="s">
        <v>61</v>
      </c>
      <c r="C89" s="2">
        <f>G89*N89</f>
        <v>5177083</v>
      </c>
      <c r="D89" s="61"/>
      <c r="E89" s="18" t="s">
        <v>10</v>
      </c>
      <c r="F89" s="28">
        <f>2*630*0.89</f>
        <v>1121.4</v>
      </c>
      <c r="G89" s="2">
        <v>5177083</v>
      </c>
      <c r="H89" s="2">
        <f>218581*1.048*1.058*1.031</f>
        <v>249872.248084624</v>
      </c>
      <c r="I89" s="156">
        <f>H89*1/100</f>
        <v>2498.72248084624</v>
      </c>
      <c r="J89" s="116"/>
      <c r="K89" s="116">
        <f>I89</f>
        <v>2498.72248084624</v>
      </c>
      <c r="L89" s="116"/>
      <c r="M89" s="8" t="s">
        <v>80</v>
      </c>
      <c r="N89" s="1">
        <v>1</v>
      </c>
      <c r="O89" s="1" t="s">
        <v>5</v>
      </c>
      <c r="P89" s="1" t="s">
        <v>5</v>
      </c>
      <c r="Q89" s="1" t="s">
        <v>5</v>
      </c>
      <c r="R89" s="1" t="s">
        <v>5</v>
      </c>
      <c r="S89" s="1" t="s">
        <v>5</v>
      </c>
      <c r="T89" s="199"/>
    </row>
    <row r="90" spans="1:20" s="6" customFormat="1" ht="31.5">
      <c r="A90" s="3" t="s">
        <v>197</v>
      </c>
      <c r="B90" s="12" t="s">
        <v>45</v>
      </c>
      <c r="C90" s="2">
        <f>G90*Q90</f>
        <v>1080392</v>
      </c>
      <c r="D90" s="61"/>
      <c r="E90" s="18"/>
      <c r="F90" s="28"/>
      <c r="G90" s="2">
        <v>1080392</v>
      </c>
      <c r="H90" s="2"/>
      <c r="I90" s="156">
        <f>C90*3/100</f>
        <v>32411.76</v>
      </c>
      <c r="J90" s="116"/>
      <c r="K90" s="116">
        <f>I90</f>
        <v>32411.76</v>
      </c>
      <c r="L90" s="116"/>
      <c r="M90" s="8" t="s">
        <v>17</v>
      </c>
      <c r="N90" s="1" t="s">
        <v>5</v>
      </c>
      <c r="O90" s="1" t="s">
        <v>5</v>
      </c>
      <c r="P90" s="1" t="s">
        <v>5</v>
      </c>
      <c r="Q90" s="1">
        <v>1</v>
      </c>
      <c r="R90" s="1" t="s">
        <v>5</v>
      </c>
      <c r="S90" s="1" t="s">
        <v>5</v>
      </c>
      <c r="T90" s="199"/>
    </row>
    <row r="91" spans="1:20" s="6" customFormat="1" ht="31.5">
      <c r="A91" s="3" t="s">
        <v>198</v>
      </c>
      <c r="B91" s="12" t="s">
        <v>46</v>
      </c>
      <c r="C91" s="2">
        <f>G91*Q91</f>
        <v>486176.4</v>
      </c>
      <c r="D91" s="61"/>
      <c r="E91" s="18"/>
      <c r="F91" s="28"/>
      <c r="G91" s="2">
        <v>1080392</v>
      </c>
      <c r="H91" s="2"/>
      <c r="I91" s="156">
        <f>C91*3/100</f>
        <v>14585.292000000001</v>
      </c>
      <c r="J91" s="116"/>
      <c r="K91" s="116">
        <f>I91</f>
        <v>14585.292000000001</v>
      </c>
      <c r="L91" s="116"/>
      <c r="M91" s="8" t="s">
        <v>17</v>
      </c>
      <c r="N91" s="1" t="s">
        <v>5</v>
      </c>
      <c r="O91" s="1" t="s">
        <v>5</v>
      </c>
      <c r="P91" s="1" t="s">
        <v>5</v>
      </c>
      <c r="Q91" s="1">
        <v>0.45</v>
      </c>
      <c r="R91" s="1" t="s">
        <v>5</v>
      </c>
      <c r="S91" s="1" t="s">
        <v>5</v>
      </c>
      <c r="T91" s="199"/>
    </row>
    <row r="92" spans="1:20" s="6" customFormat="1" ht="31.5">
      <c r="A92" s="3" t="s">
        <v>219</v>
      </c>
      <c r="B92" s="12" t="s">
        <v>206</v>
      </c>
      <c r="C92" s="2">
        <f>G92*S92</f>
        <v>319079.1</v>
      </c>
      <c r="D92" s="2"/>
      <c r="E92" s="18" t="s">
        <v>10</v>
      </c>
      <c r="F92" s="28">
        <v>500</v>
      </c>
      <c r="G92" s="2">
        <v>1063597</v>
      </c>
      <c r="H92" s="2"/>
      <c r="I92" s="156">
        <f>C92*3/100</f>
        <v>9572.373</v>
      </c>
      <c r="J92" s="116"/>
      <c r="K92" s="116">
        <f>I92</f>
        <v>9572.373</v>
      </c>
      <c r="L92" s="116"/>
      <c r="M92" s="8" t="s">
        <v>216</v>
      </c>
      <c r="N92" s="1" t="s">
        <v>5</v>
      </c>
      <c r="O92" s="1" t="s">
        <v>5</v>
      </c>
      <c r="P92" s="1" t="s">
        <v>5</v>
      </c>
      <c r="Q92" s="1" t="s">
        <v>5</v>
      </c>
      <c r="R92" s="1" t="s">
        <v>5</v>
      </c>
      <c r="S92" s="1">
        <v>0.3</v>
      </c>
      <c r="T92" s="199"/>
    </row>
    <row r="93" spans="1:20" s="6" customFormat="1" ht="19.5" customHeight="1">
      <c r="A93" s="298" t="s">
        <v>132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300"/>
      <c r="T93" s="199"/>
    </row>
    <row r="94" spans="1:20" s="6" customFormat="1" ht="31.5">
      <c r="A94" s="73" t="s">
        <v>195</v>
      </c>
      <c r="B94" s="15" t="s">
        <v>42</v>
      </c>
      <c r="C94" s="2">
        <f>G94*N94</f>
        <v>5263678</v>
      </c>
      <c r="D94" s="61"/>
      <c r="E94" s="18" t="s">
        <v>10</v>
      </c>
      <c r="F94" s="32">
        <f>2*1000*0.89</f>
        <v>1780</v>
      </c>
      <c r="G94" s="2">
        <v>5263678</v>
      </c>
      <c r="H94" s="2">
        <f>218581*1.048*1.029</f>
        <v>235716.00175199998</v>
      </c>
      <c r="I94" s="156">
        <f>H94*1/100</f>
        <v>2357.1600175199997</v>
      </c>
      <c r="J94" s="116">
        <f>I94</f>
        <v>2357.1600175199997</v>
      </c>
      <c r="K94" s="116"/>
      <c r="L94" s="116"/>
      <c r="M94" s="8" t="s">
        <v>79</v>
      </c>
      <c r="N94" s="1">
        <v>1</v>
      </c>
      <c r="O94" s="1" t="s">
        <v>5</v>
      </c>
      <c r="P94" s="1" t="s">
        <v>5</v>
      </c>
      <c r="Q94" s="1" t="s">
        <v>5</v>
      </c>
      <c r="R94" s="1" t="s">
        <v>5</v>
      </c>
      <c r="S94" s="1" t="s">
        <v>5</v>
      </c>
      <c r="T94" s="199"/>
    </row>
    <row r="95" spans="1:20" s="6" customFormat="1" ht="31.5">
      <c r="A95" s="3" t="s">
        <v>199</v>
      </c>
      <c r="B95" s="12" t="s">
        <v>43</v>
      </c>
      <c r="C95" s="2">
        <f>G95*Q95</f>
        <v>723620.64</v>
      </c>
      <c r="D95" s="61"/>
      <c r="E95" s="18"/>
      <c r="F95" s="31"/>
      <c r="G95" s="2">
        <v>1019184</v>
      </c>
      <c r="H95" s="2"/>
      <c r="I95" s="156">
        <f>C95*3/100</f>
        <v>21708.6192</v>
      </c>
      <c r="J95" s="116">
        <f>I95</f>
        <v>21708.6192</v>
      </c>
      <c r="K95" s="116"/>
      <c r="L95" s="116"/>
      <c r="M95" s="8" t="s">
        <v>17</v>
      </c>
      <c r="N95" s="1" t="s">
        <v>5</v>
      </c>
      <c r="O95" s="1" t="s">
        <v>5</v>
      </c>
      <c r="P95" s="1" t="s">
        <v>5</v>
      </c>
      <c r="Q95" s="1">
        <v>0.71</v>
      </c>
      <c r="R95" s="1" t="s">
        <v>5</v>
      </c>
      <c r="S95" s="1" t="s">
        <v>5</v>
      </c>
      <c r="T95" s="199"/>
    </row>
    <row r="96" spans="1:20" s="6" customFormat="1" ht="31.5">
      <c r="A96" s="3" t="s">
        <v>200</v>
      </c>
      <c r="B96" s="12" t="s">
        <v>44</v>
      </c>
      <c r="C96" s="2">
        <f>G96*Q96</f>
        <v>2547960</v>
      </c>
      <c r="D96" s="61"/>
      <c r="E96" s="18"/>
      <c r="F96" s="28"/>
      <c r="G96" s="2">
        <v>1019184</v>
      </c>
      <c r="H96" s="2"/>
      <c r="I96" s="156">
        <f>C96*3/100</f>
        <v>76438.8</v>
      </c>
      <c r="J96" s="116">
        <f>I96</f>
        <v>76438.8</v>
      </c>
      <c r="K96" s="116"/>
      <c r="L96" s="116"/>
      <c r="M96" s="8" t="s">
        <v>17</v>
      </c>
      <c r="N96" s="1" t="s">
        <v>5</v>
      </c>
      <c r="O96" s="1" t="s">
        <v>5</v>
      </c>
      <c r="P96" s="1" t="s">
        <v>5</v>
      </c>
      <c r="Q96" s="1">
        <v>2.5</v>
      </c>
      <c r="R96" s="1" t="s">
        <v>5</v>
      </c>
      <c r="S96" s="1" t="s">
        <v>5</v>
      </c>
      <c r="T96" s="199"/>
    </row>
    <row r="97" spans="1:20" s="6" customFormat="1" ht="31.5">
      <c r="A97" s="3" t="s">
        <v>218</v>
      </c>
      <c r="B97" s="12" t="s">
        <v>207</v>
      </c>
      <c r="C97" s="2">
        <f>G97*S97</f>
        <v>401336</v>
      </c>
      <c r="D97" s="2"/>
      <c r="E97" s="18" t="s">
        <v>10</v>
      </c>
      <c r="F97" s="28">
        <v>800</v>
      </c>
      <c r="G97" s="2">
        <v>1003340</v>
      </c>
      <c r="H97" s="2"/>
      <c r="I97" s="156">
        <f>C97*3/100</f>
        <v>12040.08</v>
      </c>
      <c r="J97" s="116">
        <f>I97</f>
        <v>12040.08</v>
      </c>
      <c r="K97" s="116"/>
      <c r="L97" s="116"/>
      <c r="M97" s="8" t="s">
        <v>216</v>
      </c>
      <c r="N97" s="1" t="s">
        <v>5</v>
      </c>
      <c r="O97" s="1" t="s">
        <v>5</v>
      </c>
      <c r="P97" s="1" t="s">
        <v>5</v>
      </c>
      <c r="Q97" s="1" t="s">
        <v>5</v>
      </c>
      <c r="R97" s="1" t="s">
        <v>5</v>
      </c>
      <c r="S97" s="1">
        <v>0.4</v>
      </c>
      <c r="T97" s="199"/>
    </row>
    <row r="98" spans="1:20" s="132" customFormat="1" ht="15.75">
      <c r="A98" s="122" t="s">
        <v>201</v>
      </c>
      <c r="B98" s="13" t="s">
        <v>133</v>
      </c>
      <c r="C98" s="152">
        <f>G98*(Q98+S98)*400/1000</f>
        <v>2995259.508</v>
      </c>
      <c r="D98" s="124"/>
      <c r="E98" s="125"/>
      <c r="F98" s="126"/>
      <c r="G98" s="128">
        <v>857749</v>
      </c>
      <c r="H98" s="128"/>
      <c r="I98" s="156">
        <f>C98*3/100</f>
        <v>89857.78524</v>
      </c>
      <c r="J98" s="116">
        <f>I98</f>
        <v>89857.78524</v>
      </c>
      <c r="K98" s="116"/>
      <c r="L98" s="116"/>
      <c r="M98" s="129"/>
      <c r="N98" s="129"/>
      <c r="O98" s="153">
        <f>SUM(O56:O96)</f>
        <v>0</v>
      </c>
      <c r="P98" s="154">
        <f>SUM(P56:P96)</f>
        <v>1.3</v>
      </c>
      <c r="Q98" s="140">
        <f>SUM(Q56:Q96)</f>
        <v>6.695</v>
      </c>
      <c r="R98" s="140">
        <f>SUM(R56:R96)</f>
        <v>1.629</v>
      </c>
      <c r="S98" s="140">
        <f>SUM(S56:S97)</f>
        <v>2.035</v>
      </c>
      <c r="T98" s="200"/>
    </row>
    <row r="99" spans="1:20" ht="15.75">
      <c r="A99" s="72"/>
      <c r="B99" s="12" t="s">
        <v>128</v>
      </c>
      <c r="C99" s="39"/>
      <c r="D99" s="64"/>
      <c r="E99" s="52"/>
      <c r="F99" s="53"/>
      <c r="G99" s="54"/>
      <c r="H99" s="54"/>
      <c r="I99" s="39">
        <f>SUM(I56:I98)</f>
        <v>437597.69979090436</v>
      </c>
      <c r="J99" s="39">
        <f>SUM(J56:J98)</f>
        <v>290278.1502754766</v>
      </c>
      <c r="K99" s="39">
        <f>SUM(K56:K98)</f>
        <v>99082.61830757503</v>
      </c>
      <c r="L99" s="39">
        <f>SUM(L56:L98)</f>
        <v>48236.931207852605</v>
      </c>
      <c r="M99" s="54"/>
      <c r="N99" s="54"/>
      <c r="O99" s="54"/>
      <c r="P99" s="54"/>
      <c r="Q99" s="54"/>
      <c r="R99" s="54"/>
      <c r="S99" s="54"/>
      <c r="T99" s="198"/>
    </row>
    <row r="100" spans="1:20" ht="15.75">
      <c r="A100" s="72" t="s">
        <v>202</v>
      </c>
      <c r="B100" s="12" t="s">
        <v>6</v>
      </c>
      <c r="C100" s="66">
        <f>I99</f>
        <v>437597.69979090436</v>
      </c>
      <c r="D100" s="52"/>
      <c r="E100" s="52"/>
      <c r="F100" s="53"/>
      <c r="G100" s="54"/>
      <c r="H100" s="54"/>
      <c r="I100" s="40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98"/>
    </row>
    <row r="101" spans="1:20" ht="15.75">
      <c r="A101" s="51"/>
      <c r="B101" s="13"/>
      <c r="C101" s="39"/>
      <c r="D101" s="59"/>
      <c r="E101" s="42" t="s">
        <v>10</v>
      </c>
      <c r="F101" s="43">
        <f>SUM(F56:F100)</f>
        <v>6256.77</v>
      </c>
      <c r="G101" s="40"/>
      <c r="H101" s="40"/>
      <c r="I101" s="40"/>
      <c r="J101" s="40"/>
      <c r="K101" s="202"/>
      <c r="L101" s="40"/>
      <c r="M101" s="40"/>
      <c r="N101" s="41" t="e">
        <f>SUM(N56:N96)+#REF!</f>
        <v>#REF!</v>
      </c>
      <c r="O101" s="41"/>
      <c r="P101" s="98" t="e">
        <f>P98+#REF!</f>
        <v>#REF!</v>
      </c>
      <c r="Q101" s="41" t="e">
        <f>Q98+#REF!</f>
        <v>#REF!</v>
      </c>
      <c r="R101" s="101" t="e">
        <f>#REF!+R98</f>
        <v>#REF!</v>
      </c>
      <c r="S101" s="41" t="e">
        <f>SUM(S56:S97)+#REF!</f>
        <v>#REF!</v>
      </c>
      <c r="T101" s="198"/>
    </row>
    <row r="103" ht="15.75">
      <c r="J103" s="76"/>
    </row>
    <row r="104" spans="1:20" ht="15.75">
      <c r="A104" s="51"/>
      <c r="B104" s="13" t="s">
        <v>131</v>
      </c>
      <c r="C104" s="39"/>
      <c r="D104" s="59"/>
      <c r="E104" s="42" t="s">
        <v>10</v>
      </c>
      <c r="F104" s="43">
        <f>SUM(F59:F103)</f>
        <v>12442.470000000001</v>
      </c>
      <c r="G104" s="40"/>
      <c r="H104" s="40"/>
      <c r="I104" s="39">
        <f>I53+I99</f>
        <v>1508288.158174685</v>
      </c>
      <c r="J104" s="39">
        <f>J53+J99</f>
        <v>710217.7064594624</v>
      </c>
      <c r="K104" s="39">
        <f>K53+K99</f>
        <v>381034.45133514353</v>
      </c>
      <c r="L104" s="39">
        <f>L53+L99</f>
        <v>417036.0003800792</v>
      </c>
      <c r="M104" s="40"/>
      <c r="N104" s="41">
        <f>SUM(N59:N99)+N56</f>
        <v>9</v>
      </c>
      <c r="O104" s="41"/>
      <c r="P104" s="98" t="e">
        <f>P101+P56</f>
        <v>#REF!</v>
      </c>
      <c r="Q104" s="41" t="e">
        <f>Q101+Q56</f>
        <v>#REF!</v>
      </c>
      <c r="R104" s="101" t="e">
        <f>R56+R101</f>
        <v>#VALUE!</v>
      </c>
      <c r="S104" s="41" t="e">
        <f>SUM(S59:S100)+S56</f>
        <v>#VALUE!</v>
      </c>
      <c r="T104" s="198"/>
    </row>
    <row r="105" ht="15.75">
      <c r="P105" s="77"/>
    </row>
    <row r="106" ht="15.75">
      <c r="K106" s="76"/>
    </row>
    <row r="137" spans="1:19" ht="15.75">
      <c r="A137" s="56"/>
      <c r="B137" s="57"/>
      <c r="C137" s="57"/>
      <c r="D137" s="57"/>
      <c r="E137" s="57"/>
      <c r="F137" s="57"/>
      <c r="G137" s="57"/>
      <c r="H137" s="57"/>
      <c r="I137" s="89"/>
      <c r="J137" s="57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1:19" ht="15.75">
      <c r="A138" s="56"/>
      <c r="B138" s="57"/>
      <c r="C138" s="57"/>
      <c r="D138" s="57"/>
      <c r="E138" s="57"/>
      <c r="F138" s="57"/>
      <c r="G138" s="57"/>
      <c r="H138" s="57"/>
      <c r="I138" s="89"/>
      <c r="J138" s="57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1:19" ht="15.75">
      <c r="A139" s="56"/>
      <c r="B139" s="57"/>
      <c r="C139" s="58"/>
      <c r="D139" s="58"/>
      <c r="E139" s="58"/>
      <c r="F139" s="57"/>
      <c r="G139" s="57"/>
      <c r="H139" s="57"/>
      <c r="I139" s="89"/>
      <c r="J139" s="57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1:19" ht="15.75">
      <c r="A140" s="56"/>
      <c r="B140" s="57"/>
      <c r="C140" s="57"/>
      <c r="D140" s="57"/>
      <c r="E140" s="57"/>
      <c r="F140" s="57"/>
      <c r="G140" s="57"/>
      <c r="H140" s="57"/>
      <c r="I140" s="89"/>
      <c r="J140" s="57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1:19" ht="15.75">
      <c r="A141" s="56"/>
      <c r="B141" s="57"/>
      <c r="C141" s="57"/>
      <c r="D141" s="57"/>
      <c r="E141" s="57"/>
      <c r="F141" s="57"/>
      <c r="G141" s="57"/>
      <c r="H141" s="57"/>
      <c r="I141" s="89"/>
      <c r="J141" s="57"/>
      <c r="K141" s="57"/>
      <c r="L141" s="57"/>
      <c r="M141" s="57"/>
      <c r="N141" s="57"/>
      <c r="O141" s="57"/>
      <c r="P141" s="57"/>
      <c r="Q141" s="57"/>
      <c r="R141" s="57"/>
      <c r="S141" s="57"/>
    </row>
  </sheetData>
  <mergeCells count="29">
    <mergeCell ref="A2:S2"/>
    <mergeCell ref="A3:A5"/>
    <mergeCell ref="B3:B5"/>
    <mergeCell ref="C3:C5"/>
    <mergeCell ref="N3:S3"/>
    <mergeCell ref="O4:O5"/>
    <mergeCell ref="Q4:Q5"/>
    <mergeCell ref="N4:N5"/>
    <mergeCell ref="P4:P5"/>
    <mergeCell ref="M3:M5"/>
    <mergeCell ref="A93:S93"/>
    <mergeCell ref="R4:R5"/>
    <mergeCell ref="G3:G5"/>
    <mergeCell ref="S4:S5"/>
    <mergeCell ref="E3:F5"/>
    <mergeCell ref="H3:H5"/>
    <mergeCell ref="D3:D5"/>
    <mergeCell ref="A54:S54"/>
    <mergeCell ref="A6:S6"/>
    <mergeCell ref="I3:L4"/>
    <mergeCell ref="A55:S55"/>
    <mergeCell ref="A66:S66"/>
    <mergeCell ref="A85:S85"/>
    <mergeCell ref="A7:S7"/>
    <mergeCell ref="A22:S22"/>
    <mergeCell ref="A27:S27"/>
    <mergeCell ref="A34:S34"/>
    <mergeCell ref="A41:S41"/>
    <mergeCell ref="A45:S4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zoomScaleSheetLayoutView="5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1" sqref="A21:K21"/>
    </sheetView>
  </sheetViews>
  <sheetFormatPr defaultColWidth="9.00390625" defaultRowHeight="12.75"/>
  <cols>
    <col min="1" max="1" width="5.375" style="55" customWidth="1"/>
    <col min="2" max="2" width="46.125" style="47" customWidth="1"/>
    <col min="3" max="3" width="15.125" style="47" hidden="1" customWidth="1"/>
    <col min="4" max="4" width="13.625" style="47" hidden="1" customWidth="1"/>
    <col min="5" max="5" width="15.75390625" style="47" customWidth="1"/>
    <col min="6" max="6" width="7.375" style="47" customWidth="1"/>
    <col min="7" max="7" width="8.75390625" style="47" hidden="1" customWidth="1"/>
    <col min="8" max="8" width="8.875" style="47" customWidth="1"/>
    <col min="9" max="9" width="9.75390625" style="47" customWidth="1"/>
    <col min="10" max="10" width="11.25390625" style="47" customWidth="1"/>
    <col min="11" max="11" width="9.75390625" style="47" customWidth="1"/>
    <col min="12" max="12" width="9.125" style="47" customWidth="1"/>
    <col min="13" max="13" width="17.125" style="47" customWidth="1"/>
    <col min="14" max="16384" width="9.125" style="47" customWidth="1"/>
  </cols>
  <sheetData>
    <row r="1" spans="1:11" ht="70.5" customHeight="1">
      <c r="A1" s="315" t="s">
        <v>307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customHeight="1">
      <c r="A2" s="308" t="s">
        <v>311</v>
      </c>
      <c r="B2" s="290" t="s">
        <v>238</v>
      </c>
      <c r="C2" s="290" t="s">
        <v>136</v>
      </c>
      <c r="D2" s="290" t="s">
        <v>135</v>
      </c>
      <c r="E2" s="290" t="s">
        <v>310</v>
      </c>
      <c r="F2" s="290" t="s">
        <v>12</v>
      </c>
      <c r="G2" s="290"/>
      <c r="H2" s="290"/>
      <c r="I2" s="290"/>
      <c r="J2" s="290"/>
      <c r="K2" s="290"/>
    </row>
    <row r="3" spans="1:11" ht="31.5" customHeight="1">
      <c r="A3" s="308"/>
      <c r="B3" s="290"/>
      <c r="C3" s="290"/>
      <c r="D3" s="290"/>
      <c r="E3" s="290"/>
      <c r="F3" s="290" t="s">
        <v>8</v>
      </c>
      <c r="G3" s="290" t="s">
        <v>11</v>
      </c>
      <c r="H3" s="290" t="s">
        <v>305</v>
      </c>
      <c r="I3" s="290" t="s">
        <v>306</v>
      </c>
      <c r="J3" s="290" t="s">
        <v>309</v>
      </c>
      <c r="K3" s="290" t="s">
        <v>308</v>
      </c>
    </row>
    <row r="4" spans="1:11" ht="69.75" customHeight="1">
      <c r="A4" s="308"/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ht="43.5" customHeight="1">
      <c r="A5" s="312" t="s">
        <v>304</v>
      </c>
      <c r="B5" s="313"/>
      <c r="C5" s="313"/>
      <c r="D5" s="313"/>
      <c r="E5" s="313"/>
      <c r="F5" s="313"/>
      <c r="G5" s="313"/>
      <c r="H5" s="313"/>
      <c r="I5" s="313"/>
      <c r="J5" s="313"/>
      <c r="K5" s="314"/>
    </row>
    <row r="6" spans="1:11" ht="19.5" customHeight="1">
      <c r="A6" s="298" t="s">
        <v>95</v>
      </c>
      <c r="B6" s="299"/>
      <c r="C6" s="299"/>
      <c r="D6" s="299"/>
      <c r="E6" s="299"/>
      <c r="F6" s="299"/>
      <c r="G6" s="299"/>
      <c r="H6" s="299"/>
      <c r="I6" s="299"/>
      <c r="J6" s="299"/>
      <c r="K6" s="300"/>
    </row>
    <row r="7" spans="1:11" ht="31.5">
      <c r="A7" s="3" t="s">
        <v>29</v>
      </c>
      <c r="B7" s="12" t="s">
        <v>312</v>
      </c>
      <c r="C7" s="11"/>
      <c r="D7" s="11" t="e">
        <f>#REF!*3/100</f>
        <v>#REF!</v>
      </c>
      <c r="E7" s="8" t="s">
        <v>74</v>
      </c>
      <c r="F7" s="1" t="s">
        <v>5</v>
      </c>
      <c r="G7" s="1" t="s">
        <v>5</v>
      </c>
      <c r="H7" s="1">
        <v>1.2</v>
      </c>
      <c r="I7" s="1" t="s">
        <v>5</v>
      </c>
      <c r="J7" s="1" t="s">
        <v>5</v>
      </c>
      <c r="K7" s="1" t="s">
        <v>5</v>
      </c>
    </row>
    <row r="8" spans="1:11" ht="31.5">
      <c r="A8" s="73" t="s">
        <v>30</v>
      </c>
      <c r="B8" s="13" t="s">
        <v>125</v>
      </c>
      <c r="C8" s="2">
        <v>136841</v>
      </c>
      <c r="D8" s="2" t="e">
        <f>(#REF!-C8)*1/100</f>
        <v>#REF!</v>
      </c>
      <c r="E8" s="8" t="s">
        <v>75</v>
      </c>
      <c r="F8" s="1">
        <v>1</v>
      </c>
      <c r="G8" s="1" t="s">
        <v>5</v>
      </c>
      <c r="H8" s="1" t="s">
        <v>5</v>
      </c>
      <c r="I8" s="1" t="s">
        <v>5</v>
      </c>
      <c r="J8" s="1" t="s">
        <v>5</v>
      </c>
      <c r="K8" s="1" t="s">
        <v>5</v>
      </c>
    </row>
    <row r="9" spans="1:11" ht="19.5" customHeight="1">
      <c r="A9" s="298" t="s">
        <v>96</v>
      </c>
      <c r="B9" s="299"/>
      <c r="C9" s="299"/>
      <c r="D9" s="299"/>
      <c r="E9" s="299"/>
      <c r="F9" s="299"/>
      <c r="G9" s="299"/>
      <c r="H9" s="299"/>
      <c r="I9" s="299"/>
      <c r="J9" s="299"/>
      <c r="K9" s="300"/>
    </row>
    <row r="10" spans="1:11" ht="31.5">
      <c r="A10" s="3" t="s">
        <v>31</v>
      </c>
      <c r="B10" s="12" t="s">
        <v>98</v>
      </c>
      <c r="C10" s="11"/>
      <c r="D10" s="11" t="e">
        <f>#REF!*3/100</f>
        <v>#REF!</v>
      </c>
      <c r="E10" s="8" t="s">
        <v>16</v>
      </c>
      <c r="F10" s="1" t="s">
        <v>5</v>
      </c>
      <c r="G10" s="1" t="s">
        <v>5</v>
      </c>
      <c r="H10" s="1">
        <v>1.7</v>
      </c>
      <c r="I10" s="1" t="s">
        <v>5</v>
      </c>
      <c r="J10" s="1" t="s">
        <v>5</v>
      </c>
      <c r="K10" s="1" t="s">
        <v>5</v>
      </c>
    </row>
    <row r="11" spans="1:11" ht="19.5" customHeight="1">
      <c r="A11" s="298" t="s">
        <v>106</v>
      </c>
      <c r="B11" s="299"/>
      <c r="C11" s="299"/>
      <c r="D11" s="299"/>
      <c r="E11" s="299"/>
      <c r="F11" s="299"/>
      <c r="G11" s="299"/>
      <c r="H11" s="299"/>
      <c r="I11" s="299"/>
      <c r="J11" s="299"/>
      <c r="K11" s="300"/>
    </row>
    <row r="12" spans="1:11" ht="31.5">
      <c r="A12" s="73" t="s">
        <v>313</v>
      </c>
      <c r="B12" s="13" t="s">
        <v>234</v>
      </c>
      <c r="C12" s="2">
        <f>218481*1.048*1.029</f>
        <v>235608.162552</v>
      </c>
      <c r="D12" s="2" t="e">
        <f>(#REF!-C12)*1/100</f>
        <v>#REF!</v>
      </c>
      <c r="E12" s="10" t="s">
        <v>108</v>
      </c>
      <c r="F12" s="1">
        <v>1</v>
      </c>
      <c r="G12" s="1" t="s">
        <v>5</v>
      </c>
      <c r="H12" s="1" t="s">
        <v>5</v>
      </c>
      <c r="I12" s="1" t="s">
        <v>5</v>
      </c>
      <c r="J12" s="1" t="s">
        <v>5</v>
      </c>
      <c r="K12" s="1" t="s">
        <v>5</v>
      </c>
    </row>
    <row r="13" spans="1:11" ht="39" customHeight="1">
      <c r="A13" s="3" t="s">
        <v>314</v>
      </c>
      <c r="B13" s="12" t="s">
        <v>107</v>
      </c>
      <c r="C13" s="11"/>
      <c r="D13" s="11" t="e">
        <f>#REF!*3/100</f>
        <v>#REF!</v>
      </c>
      <c r="E13" s="8" t="s">
        <v>16</v>
      </c>
      <c r="F13" s="1" t="s">
        <v>5</v>
      </c>
      <c r="G13" s="1" t="s">
        <v>5</v>
      </c>
      <c r="H13" s="1">
        <v>1.15</v>
      </c>
      <c r="I13" s="1" t="s">
        <v>5</v>
      </c>
      <c r="J13" s="1" t="s">
        <v>5</v>
      </c>
      <c r="K13" s="1" t="s">
        <v>5</v>
      </c>
    </row>
    <row r="14" spans="1:11" ht="31.5">
      <c r="A14" s="3" t="s">
        <v>315</v>
      </c>
      <c r="B14" s="12" t="s">
        <v>296</v>
      </c>
      <c r="C14" s="11"/>
      <c r="D14" s="11" t="e">
        <f>#REF!*3/100</f>
        <v>#REF!</v>
      </c>
      <c r="E14" s="8" t="s">
        <v>16</v>
      </c>
      <c r="F14" s="1" t="s">
        <v>5</v>
      </c>
      <c r="G14" s="1" t="s">
        <v>5</v>
      </c>
      <c r="H14" s="291">
        <v>1</v>
      </c>
      <c r="I14" s="1" t="s">
        <v>5</v>
      </c>
      <c r="J14" s="1" t="s">
        <v>5</v>
      </c>
      <c r="K14" s="1" t="s">
        <v>5</v>
      </c>
    </row>
    <row r="15" spans="1:11" ht="31.5">
      <c r="A15" s="3" t="s">
        <v>316</v>
      </c>
      <c r="B15" s="12" t="s">
        <v>295</v>
      </c>
      <c r="C15" s="2"/>
      <c r="D15" s="11" t="e">
        <f>#REF!*3/100</f>
        <v>#REF!</v>
      </c>
      <c r="E15" s="10" t="s">
        <v>92</v>
      </c>
      <c r="F15" s="1" t="s">
        <v>5</v>
      </c>
      <c r="G15" s="1" t="s">
        <v>5</v>
      </c>
      <c r="H15" s="1" t="s">
        <v>5</v>
      </c>
      <c r="I15" s="1" t="s">
        <v>5</v>
      </c>
      <c r="J15" s="1">
        <v>0.5</v>
      </c>
      <c r="K15" s="1" t="s">
        <v>5</v>
      </c>
    </row>
    <row r="16" spans="1:11" ht="19.5" customHeight="1">
      <c r="A16" s="298" t="s">
        <v>113</v>
      </c>
      <c r="B16" s="299"/>
      <c r="C16" s="299"/>
      <c r="D16" s="299"/>
      <c r="E16" s="299"/>
      <c r="F16" s="299"/>
      <c r="G16" s="299"/>
      <c r="H16" s="299"/>
      <c r="I16" s="299"/>
      <c r="J16" s="299"/>
      <c r="K16" s="300"/>
    </row>
    <row r="17" spans="1:11" ht="31.5">
      <c r="A17" s="73" t="s">
        <v>317</v>
      </c>
      <c r="B17" s="13" t="s">
        <v>91</v>
      </c>
      <c r="C17" s="2">
        <v>543095</v>
      </c>
      <c r="D17" s="2" t="e">
        <f>(#REF!-C17)*1/100</f>
        <v>#REF!</v>
      </c>
      <c r="E17" s="10" t="s">
        <v>80</v>
      </c>
      <c r="F17" s="1">
        <v>1</v>
      </c>
      <c r="G17" s="1" t="s">
        <v>5</v>
      </c>
      <c r="H17" s="1" t="s">
        <v>5</v>
      </c>
      <c r="I17" s="1" t="s">
        <v>5</v>
      </c>
      <c r="J17" s="1" t="s">
        <v>5</v>
      </c>
      <c r="K17" s="1" t="s">
        <v>5</v>
      </c>
    </row>
    <row r="18" spans="1:11" ht="31.5">
      <c r="A18" s="3" t="s">
        <v>318</v>
      </c>
      <c r="B18" s="12" t="s">
        <v>114</v>
      </c>
      <c r="C18" s="11"/>
      <c r="D18" s="11" t="e">
        <f>#REF!*3/100</f>
        <v>#REF!</v>
      </c>
      <c r="E18" s="8" t="s">
        <v>74</v>
      </c>
      <c r="F18" s="1" t="s">
        <v>5</v>
      </c>
      <c r="G18" s="1" t="s">
        <v>5</v>
      </c>
      <c r="H18" s="1">
        <v>1.1</v>
      </c>
      <c r="I18" s="1" t="s">
        <v>5</v>
      </c>
      <c r="J18" s="1" t="s">
        <v>5</v>
      </c>
      <c r="K18" s="1" t="s">
        <v>5</v>
      </c>
    </row>
    <row r="19" spans="1:11" ht="31.5">
      <c r="A19" s="3" t="s">
        <v>319</v>
      </c>
      <c r="B19" s="12" t="s">
        <v>119</v>
      </c>
      <c r="C19" s="2"/>
      <c r="D19" s="11" t="e">
        <f>#REF!*3/100</f>
        <v>#REF!</v>
      </c>
      <c r="E19" s="8" t="s">
        <v>17</v>
      </c>
      <c r="F19" s="1" t="s">
        <v>5</v>
      </c>
      <c r="G19" s="1" t="s">
        <v>5</v>
      </c>
      <c r="H19" s="1" t="s">
        <v>5</v>
      </c>
      <c r="I19" s="1">
        <v>1</v>
      </c>
      <c r="J19" s="1" t="s">
        <v>5</v>
      </c>
      <c r="K19" s="1" t="s">
        <v>5</v>
      </c>
    </row>
    <row r="20" spans="1:13" ht="22.5" customHeight="1">
      <c r="A20" s="3"/>
      <c r="B20" s="13" t="s">
        <v>300</v>
      </c>
      <c r="C20" s="38"/>
      <c r="D20" s="38"/>
      <c r="E20" s="9"/>
      <c r="F20" s="4">
        <f>F8+F12+F17</f>
        <v>3</v>
      </c>
      <c r="G20" s="1" t="s">
        <v>5</v>
      </c>
      <c r="H20" s="99">
        <f>H7+H10+H13+H14+H18</f>
        <v>6.15</v>
      </c>
      <c r="I20" s="4">
        <f>SUM(I19:I19)</f>
        <v>1</v>
      </c>
      <c r="J20" s="99">
        <f>SUM(J7:J19)</f>
        <v>0.5</v>
      </c>
      <c r="K20" s="4">
        <v>0</v>
      </c>
      <c r="M20" s="77"/>
    </row>
    <row r="21" spans="1:11" ht="42" customHeight="1">
      <c r="A21" s="317" t="s">
        <v>302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9"/>
    </row>
    <row r="22" spans="1:11" ht="30" customHeight="1">
      <c r="A22" s="73" t="s">
        <v>33</v>
      </c>
      <c r="B22" s="17" t="s">
        <v>303</v>
      </c>
      <c r="C22" s="2">
        <v>83125</v>
      </c>
      <c r="D22" s="2" t="e">
        <f>(#REF!-C22)*1/100</f>
        <v>#REF!</v>
      </c>
      <c r="E22" s="8" t="s">
        <v>15</v>
      </c>
      <c r="F22" s="1">
        <v>1</v>
      </c>
      <c r="G22" s="1" t="s">
        <v>5</v>
      </c>
      <c r="H22" s="1" t="s">
        <v>5</v>
      </c>
      <c r="I22" s="1" t="s">
        <v>5</v>
      </c>
      <c r="J22" s="1" t="s">
        <v>5</v>
      </c>
      <c r="K22" s="1" t="s">
        <v>5</v>
      </c>
    </row>
    <row r="23" spans="1:11" ht="24" customHeight="1">
      <c r="A23" s="3" t="s">
        <v>34</v>
      </c>
      <c r="B23" s="12" t="s">
        <v>298</v>
      </c>
      <c r="C23" s="2"/>
      <c r="D23" s="11" t="e">
        <f>#REF!*3/100</f>
        <v>#REF!</v>
      </c>
      <c r="E23" s="8" t="s">
        <v>82</v>
      </c>
      <c r="F23" s="1" t="s">
        <v>5</v>
      </c>
      <c r="G23" s="1" t="s">
        <v>5</v>
      </c>
      <c r="H23" s="1" t="s">
        <v>5</v>
      </c>
      <c r="I23" s="1" t="s">
        <v>5</v>
      </c>
      <c r="J23" s="1">
        <v>0.769</v>
      </c>
      <c r="K23" s="1" t="s">
        <v>5</v>
      </c>
    </row>
    <row r="24" spans="1:11" ht="33.75" customHeight="1">
      <c r="A24" s="3" t="s">
        <v>35</v>
      </c>
      <c r="B24" s="12" t="s">
        <v>297</v>
      </c>
      <c r="C24" s="2"/>
      <c r="D24" s="11" t="e">
        <f>#REF!*3/100</f>
        <v>#REF!</v>
      </c>
      <c r="E24" s="8" t="s">
        <v>19</v>
      </c>
      <c r="F24" s="1" t="s">
        <v>5</v>
      </c>
      <c r="G24" s="1" t="s">
        <v>5</v>
      </c>
      <c r="H24" s="1" t="s">
        <v>5</v>
      </c>
      <c r="I24" s="1" t="s">
        <v>5</v>
      </c>
      <c r="J24" s="1" t="s">
        <v>5</v>
      </c>
      <c r="K24" s="1">
        <v>0.875</v>
      </c>
    </row>
    <row r="25" spans="1:11" ht="24.75" customHeight="1">
      <c r="A25" s="3" t="s">
        <v>320</v>
      </c>
      <c r="B25" s="12" t="s">
        <v>260</v>
      </c>
      <c r="C25" s="2"/>
      <c r="D25" s="11" t="e">
        <f>#REF!*3/100</f>
        <v>#REF!</v>
      </c>
      <c r="E25" s="8" t="s">
        <v>16</v>
      </c>
      <c r="F25" s="1" t="s">
        <v>5</v>
      </c>
      <c r="G25" s="1" t="s">
        <v>5</v>
      </c>
      <c r="H25" s="1">
        <v>0.1</v>
      </c>
      <c r="I25" s="1" t="s">
        <v>5</v>
      </c>
      <c r="J25" s="1" t="s">
        <v>5</v>
      </c>
      <c r="K25" s="1" t="s">
        <v>5</v>
      </c>
    </row>
    <row r="26" spans="1:11" s="6" customFormat="1" ht="32.25" customHeight="1">
      <c r="A26" s="3" t="s">
        <v>321</v>
      </c>
      <c r="B26" s="12" t="s">
        <v>299</v>
      </c>
      <c r="C26" s="2"/>
      <c r="D26" s="116" t="e">
        <f>#REF!*3/100</f>
        <v>#REF!</v>
      </c>
      <c r="E26" s="8" t="s">
        <v>17</v>
      </c>
      <c r="F26" s="1" t="s">
        <v>5</v>
      </c>
      <c r="G26" s="1" t="s">
        <v>5</v>
      </c>
      <c r="H26" s="1" t="s">
        <v>5</v>
      </c>
      <c r="I26" s="1">
        <v>0.14</v>
      </c>
      <c r="J26" s="1" t="s">
        <v>5</v>
      </c>
      <c r="K26" s="1" t="s">
        <v>5</v>
      </c>
    </row>
    <row r="27" spans="1:11" s="105" customFormat="1" ht="22.5" customHeight="1">
      <c r="A27" s="148"/>
      <c r="B27" s="13" t="s">
        <v>300</v>
      </c>
      <c r="C27" s="294"/>
      <c r="D27" s="294"/>
      <c r="E27" s="294"/>
      <c r="F27" s="295">
        <f>SUM(F22:F26)</f>
        <v>1</v>
      </c>
      <c r="G27" s="295"/>
      <c r="H27" s="296">
        <f>SUM(H22:H26)</f>
        <v>0.1</v>
      </c>
      <c r="I27" s="296">
        <f>SUM(I22:I26)</f>
        <v>0.14</v>
      </c>
      <c r="J27" s="297">
        <f>SUM(J22:J26)</f>
        <v>0.769</v>
      </c>
      <c r="K27" s="297">
        <f>SUM(K22:K26)</f>
        <v>0.875</v>
      </c>
    </row>
    <row r="28" spans="1:11" ht="15.75">
      <c r="A28" s="292"/>
      <c r="B28" s="57"/>
      <c r="C28" s="57"/>
      <c r="D28" s="57"/>
      <c r="E28" s="57"/>
      <c r="F28" s="57"/>
      <c r="G28" s="57"/>
      <c r="H28" s="57"/>
      <c r="I28" s="57"/>
      <c r="J28" s="57"/>
      <c r="K28" s="201"/>
    </row>
    <row r="29" spans="1:11" s="105" customFormat="1" ht="21.75" customHeight="1">
      <c r="A29" s="148"/>
      <c r="B29" s="13" t="s">
        <v>301</v>
      </c>
      <c r="C29" s="38">
        <f>C20+C27</f>
        <v>0</v>
      </c>
      <c r="D29" s="38">
        <f>D20+D27</f>
        <v>0</v>
      </c>
      <c r="E29" s="38"/>
      <c r="F29" s="38">
        <f>F20+F27</f>
        <v>4</v>
      </c>
      <c r="G29" s="293" t="e">
        <f>G20+G27</f>
        <v>#VALUE!</v>
      </c>
      <c r="H29" s="309">
        <f>H20+I20+J20+K20+H27+I27+J27+K27</f>
        <v>9.533999999999999</v>
      </c>
      <c r="I29" s="310"/>
      <c r="J29" s="310"/>
      <c r="K29" s="311"/>
    </row>
    <row r="30" ht="15.75">
      <c r="H30" s="77"/>
    </row>
    <row r="31" ht="15.75">
      <c r="H31" s="168"/>
    </row>
    <row r="32" spans="8:11" ht="15.75">
      <c r="H32" s="100"/>
      <c r="I32" s="100"/>
      <c r="J32" s="100"/>
      <c r="K32" s="100"/>
    </row>
    <row r="33" spans="8:9" ht="15.75">
      <c r="H33" s="168"/>
      <c r="I33" s="168"/>
    </row>
    <row r="34" ht="15.75">
      <c r="I34" s="168"/>
    </row>
    <row r="35" ht="15.75">
      <c r="I35" s="168"/>
    </row>
    <row r="62" spans="1:11" ht="15.7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5.75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5.7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5.7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5.7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</row>
  </sheetData>
  <mergeCells count="20">
    <mergeCell ref="A1:K1"/>
    <mergeCell ref="A2:A4"/>
    <mergeCell ref="B2:B4"/>
    <mergeCell ref="F2:K2"/>
    <mergeCell ref="E2:E4"/>
    <mergeCell ref="G3:G4"/>
    <mergeCell ref="I3:I4"/>
    <mergeCell ref="H29:K29"/>
    <mergeCell ref="J3:J4"/>
    <mergeCell ref="K3:K4"/>
    <mergeCell ref="C2:C4"/>
    <mergeCell ref="D2:D4"/>
    <mergeCell ref="A5:K5"/>
    <mergeCell ref="F3:F4"/>
    <mergeCell ref="H3:H4"/>
    <mergeCell ref="A21:K21"/>
    <mergeCell ref="A6:K6"/>
    <mergeCell ref="A9:K9"/>
    <mergeCell ref="A11:K11"/>
    <mergeCell ref="A16:K1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1"/>
  <sheetViews>
    <sheetView zoomScale="85" zoomScaleNormal="85" zoomScaleSheetLayoutView="5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7" sqref="S97"/>
    </sheetView>
  </sheetViews>
  <sheetFormatPr defaultColWidth="9.00390625" defaultRowHeight="12.75"/>
  <cols>
    <col min="1" max="1" width="5.375" style="55" customWidth="1"/>
    <col min="2" max="2" width="42.625" style="47" customWidth="1"/>
    <col min="3" max="3" width="15.25390625" style="47" customWidth="1"/>
    <col min="4" max="4" width="14.875" style="47" customWidth="1"/>
    <col min="5" max="5" width="17.00390625" style="47" hidden="1" customWidth="1"/>
    <col min="6" max="6" width="14.875" style="47" customWidth="1"/>
    <col min="7" max="7" width="8.125" style="47" customWidth="1"/>
    <col min="8" max="8" width="9.75390625" style="47" customWidth="1"/>
    <col min="9" max="9" width="15.125" style="47" hidden="1" customWidth="1"/>
    <col min="10" max="10" width="13.625" style="47" hidden="1" customWidth="1"/>
    <col min="11" max="11" width="14.75390625" style="47" customWidth="1"/>
    <col min="12" max="12" width="7.375" style="47" customWidth="1"/>
    <col min="13" max="13" width="8.75390625" style="47" hidden="1" customWidth="1"/>
    <col min="14" max="14" width="8.75390625" style="47" customWidth="1"/>
    <col min="15" max="15" width="8.25390625" style="47" customWidth="1"/>
    <col min="16" max="16" width="9.25390625" style="47" customWidth="1"/>
    <col min="17" max="17" width="7.375" style="47" customWidth="1"/>
    <col min="18" max="18" width="9.125" style="47" customWidth="1"/>
    <col min="19" max="19" width="17.125" style="47" customWidth="1"/>
    <col min="20" max="16384" width="9.125" style="47" customWidth="1"/>
  </cols>
  <sheetData>
    <row r="1" spans="1:17" ht="18.75">
      <c r="A1" s="48"/>
      <c r="B1" s="6"/>
      <c r="C1" s="46"/>
      <c r="D1" s="6"/>
      <c r="E1" s="6"/>
      <c r="F1" s="188" t="s">
        <v>231</v>
      </c>
      <c r="G1" s="7"/>
      <c r="H1" s="46"/>
      <c r="I1" s="46"/>
      <c r="J1" s="46"/>
      <c r="K1" s="49"/>
      <c r="L1" s="6"/>
      <c r="M1" s="6"/>
      <c r="N1" s="6"/>
      <c r="O1" s="6"/>
      <c r="P1" s="6"/>
      <c r="Q1" s="6"/>
    </row>
    <row r="2" spans="1:17" ht="20.25" customHeight="1">
      <c r="A2" s="320" t="s">
        <v>233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ht="27" customHeight="1">
      <c r="A3" s="322" t="s">
        <v>230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15.75" customHeight="1">
      <c r="A4" s="308" t="s">
        <v>0</v>
      </c>
      <c r="B4" s="290" t="s">
        <v>238</v>
      </c>
      <c r="C4" s="290" t="s">
        <v>224</v>
      </c>
      <c r="D4" s="290" t="s">
        <v>222</v>
      </c>
      <c r="E4" s="290" t="s">
        <v>134</v>
      </c>
      <c r="F4" s="290" t="s">
        <v>232</v>
      </c>
      <c r="G4" s="290" t="s">
        <v>99</v>
      </c>
      <c r="H4" s="290"/>
      <c r="I4" s="290" t="s">
        <v>136</v>
      </c>
      <c r="J4" s="290" t="s">
        <v>135</v>
      </c>
      <c r="K4" s="290" t="s">
        <v>13</v>
      </c>
      <c r="L4" s="290" t="s">
        <v>12</v>
      </c>
      <c r="M4" s="290"/>
      <c r="N4" s="290"/>
      <c r="O4" s="290"/>
      <c r="P4" s="290"/>
      <c r="Q4" s="290"/>
    </row>
    <row r="5" spans="1:17" ht="31.5" customHeight="1">
      <c r="A5" s="308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 t="s">
        <v>8</v>
      </c>
      <c r="M5" s="290" t="s">
        <v>11</v>
      </c>
      <c r="N5" s="290" t="s">
        <v>7</v>
      </c>
      <c r="O5" s="290" t="s">
        <v>2</v>
      </c>
      <c r="P5" s="290" t="s">
        <v>3</v>
      </c>
      <c r="Q5" s="290" t="s">
        <v>4</v>
      </c>
    </row>
    <row r="6" spans="1:17" ht="69.75" customHeight="1">
      <c r="A6" s="308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17" ht="15.75">
      <c r="A7" s="298" t="s">
        <v>130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0"/>
    </row>
    <row r="8" spans="1:17" ht="19.5" customHeight="1">
      <c r="A8" s="298" t="s">
        <v>95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00"/>
    </row>
    <row r="9" spans="1:17" ht="47.25">
      <c r="A9" s="3" t="s">
        <v>28</v>
      </c>
      <c r="B9" s="12" t="s">
        <v>20</v>
      </c>
      <c r="C9" s="11">
        <f>757416</f>
        <v>757416</v>
      </c>
      <c r="D9" s="2">
        <f>C9*N9</f>
        <v>908899.2</v>
      </c>
      <c r="E9" s="61"/>
      <c r="F9" s="61">
        <f>Список!X9</f>
        <v>1039013.8501805566</v>
      </c>
      <c r="G9" s="18"/>
      <c r="H9" s="19"/>
      <c r="I9" s="11"/>
      <c r="J9" s="67">
        <f>D9*3/100</f>
        <v>27266.975999999995</v>
      </c>
      <c r="K9" s="8" t="s">
        <v>74</v>
      </c>
      <c r="L9" s="1" t="s">
        <v>5</v>
      </c>
      <c r="M9" s="1" t="s">
        <v>5</v>
      </c>
      <c r="N9" s="1">
        <v>1.2</v>
      </c>
      <c r="O9" s="1" t="s">
        <v>5</v>
      </c>
      <c r="P9" s="1" t="s">
        <v>5</v>
      </c>
      <c r="Q9" s="1" t="s">
        <v>5</v>
      </c>
    </row>
    <row r="10" spans="1:17" ht="31.5">
      <c r="A10" s="3" t="s">
        <v>29</v>
      </c>
      <c r="B10" s="13" t="s">
        <v>125</v>
      </c>
      <c r="C10" s="2">
        <f>466241</f>
        <v>466241</v>
      </c>
      <c r="D10" s="2">
        <f>C10*L10</f>
        <v>466241</v>
      </c>
      <c r="E10" s="61"/>
      <c r="F10" s="61">
        <f>Список!X10</f>
        <v>532986.338333264</v>
      </c>
      <c r="G10" s="18" t="s">
        <v>10</v>
      </c>
      <c r="H10" s="20">
        <f>250*0.89</f>
        <v>222.5</v>
      </c>
      <c r="I10" s="68">
        <v>136841</v>
      </c>
      <c r="J10" s="68" t="e">
        <f>(#REF!-I10)*1/100</f>
        <v>#REF!</v>
      </c>
      <c r="K10" s="8" t="s">
        <v>75</v>
      </c>
      <c r="L10" s="1">
        <v>1</v>
      </c>
      <c r="M10" s="1" t="s">
        <v>5</v>
      </c>
      <c r="N10" s="1" t="s">
        <v>5</v>
      </c>
      <c r="O10" s="1" t="s">
        <v>5</v>
      </c>
      <c r="P10" s="1" t="s">
        <v>5</v>
      </c>
      <c r="Q10" s="1" t="s">
        <v>5</v>
      </c>
    </row>
    <row r="11" spans="1:17" ht="31.5">
      <c r="A11" s="3" t="s">
        <v>30</v>
      </c>
      <c r="B11" s="13" t="s">
        <v>27</v>
      </c>
      <c r="C11" s="2">
        <f>466241</f>
        <v>466241</v>
      </c>
      <c r="D11" s="2">
        <f>C11*L11</f>
        <v>466241</v>
      </c>
      <c r="E11" s="61"/>
      <c r="F11" s="61">
        <f>Список!X11</f>
        <v>532986.338333264</v>
      </c>
      <c r="G11" s="18" t="s">
        <v>10</v>
      </c>
      <c r="H11" s="20">
        <f>250*0.89</f>
        <v>222.5</v>
      </c>
      <c r="I11" s="68">
        <v>136841</v>
      </c>
      <c r="J11" s="68" t="e">
        <f>(#REF!-I11)*1/100</f>
        <v>#REF!</v>
      </c>
      <c r="K11" s="8" t="s">
        <v>75</v>
      </c>
      <c r="L11" s="1">
        <v>1</v>
      </c>
      <c r="M11" s="1" t="s">
        <v>5</v>
      </c>
      <c r="N11" s="1" t="s">
        <v>5</v>
      </c>
      <c r="O11" s="1" t="s">
        <v>5</v>
      </c>
      <c r="P11" s="1" t="s">
        <v>5</v>
      </c>
      <c r="Q11" s="1" t="s">
        <v>5</v>
      </c>
    </row>
    <row r="12" spans="1:17" ht="31.5">
      <c r="A12" s="3" t="s">
        <v>31</v>
      </c>
      <c r="B12" s="13" t="s">
        <v>236</v>
      </c>
      <c r="C12" s="2">
        <v>933123</v>
      </c>
      <c r="D12" s="2">
        <f>C12*L12</f>
        <v>933123</v>
      </c>
      <c r="E12" s="61"/>
      <c r="F12" s="61">
        <f>Список!X12</f>
        <v>1066705.439857392</v>
      </c>
      <c r="G12" s="18" t="s">
        <v>10</v>
      </c>
      <c r="H12" s="21">
        <f>2*250*0.89</f>
        <v>445</v>
      </c>
      <c r="I12" s="68">
        <f>235470</f>
        <v>235470</v>
      </c>
      <c r="J12" s="68" t="e">
        <f>(#REF!-I12)*1/100</f>
        <v>#REF!</v>
      </c>
      <c r="K12" s="8" t="s">
        <v>76</v>
      </c>
      <c r="L12" s="1">
        <v>1</v>
      </c>
      <c r="M12" s="1" t="s">
        <v>5</v>
      </c>
      <c r="N12" s="1" t="s">
        <v>5</v>
      </c>
      <c r="O12" s="1" t="s">
        <v>5</v>
      </c>
      <c r="P12" s="1" t="s">
        <v>5</v>
      </c>
      <c r="Q12" s="1" t="s">
        <v>5</v>
      </c>
    </row>
    <row r="13" spans="1:17" ht="47.25">
      <c r="A13" s="3" t="s">
        <v>32</v>
      </c>
      <c r="B13" s="12" t="s">
        <v>21</v>
      </c>
      <c r="C13" s="11">
        <f>757416</f>
        <v>757416</v>
      </c>
      <c r="D13" s="2">
        <f>C13*N13</f>
        <v>908899.2</v>
      </c>
      <c r="E13" s="61"/>
      <c r="F13" s="61">
        <f>Список!X13</f>
        <v>1039013.8501805566</v>
      </c>
      <c r="G13" s="18"/>
      <c r="H13" s="22"/>
      <c r="I13" s="11"/>
      <c r="J13" s="67">
        <f>D13*3/100</f>
        <v>27266.975999999995</v>
      </c>
      <c r="K13" s="8" t="s">
        <v>74</v>
      </c>
      <c r="L13" s="1" t="s">
        <v>5</v>
      </c>
      <c r="M13" s="1" t="s">
        <v>5</v>
      </c>
      <c r="N13" s="1">
        <v>1.2</v>
      </c>
      <c r="O13" s="1" t="s">
        <v>5</v>
      </c>
      <c r="P13" s="1" t="s">
        <v>5</v>
      </c>
      <c r="Q13" s="1" t="s">
        <v>5</v>
      </c>
    </row>
    <row r="14" spans="1:17" ht="31.5">
      <c r="A14" s="3" t="s">
        <v>33</v>
      </c>
      <c r="B14" s="13" t="s">
        <v>237</v>
      </c>
      <c r="C14" s="2">
        <v>933123</v>
      </c>
      <c r="D14" s="2">
        <f>C14*L14</f>
        <v>933123</v>
      </c>
      <c r="E14" s="61"/>
      <c r="F14" s="61">
        <f>Список!X14</f>
        <v>1066705.439857392</v>
      </c>
      <c r="G14" s="18" t="s">
        <v>10</v>
      </c>
      <c r="H14" s="21">
        <f>2*250*0.89</f>
        <v>445</v>
      </c>
      <c r="I14" s="68">
        <f>235470</f>
        <v>235470</v>
      </c>
      <c r="J14" s="68" t="e">
        <f>(#REF!-I14)*1/100</f>
        <v>#REF!</v>
      </c>
      <c r="K14" s="8" t="s">
        <v>76</v>
      </c>
      <c r="L14" s="1">
        <v>1</v>
      </c>
      <c r="M14" s="1" t="s">
        <v>5</v>
      </c>
      <c r="N14" s="1" t="s">
        <v>5</v>
      </c>
      <c r="O14" s="1" t="s">
        <v>5</v>
      </c>
      <c r="P14" s="1" t="s">
        <v>5</v>
      </c>
      <c r="Q14" s="1" t="s">
        <v>5</v>
      </c>
    </row>
    <row r="15" spans="1:17" ht="31.5">
      <c r="A15" s="3" t="s">
        <v>34</v>
      </c>
      <c r="B15" s="13" t="s">
        <v>122</v>
      </c>
      <c r="C15" s="2">
        <v>933123</v>
      </c>
      <c r="D15" s="2">
        <f>C15*L15</f>
        <v>933123</v>
      </c>
      <c r="E15" s="61"/>
      <c r="F15" s="61">
        <f>Список!X15</f>
        <v>1066705.439857392</v>
      </c>
      <c r="G15" s="18" t="s">
        <v>10</v>
      </c>
      <c r="H15" s="21">
        <f>2*250*0.89</f>
        <v>445</v>
      </c>
      <c r="I15" s="68">
        <f>235470</f>
        <v>235470</v>
      </c>
      <c r="J15" s="68" t="e">
        <f>(#REF!-I15)*1/100</f>
        <v>#REF!</v>
      </c>
      <c r="K15" s="8" t="s">
        <v>76</v>
      </c>
      <c r="L15" s="1">
        <v>1</v>
      </c>
      <c r="M15" s="1" t="s">
        <v>5</v>
      </c>
      <c r="N15" s="1" t="s">
        <v>5</v>
      </c>
      <c r="O15" s="1" t="s">
        <v>5</v>
      </c>
      <c r="P15" s="1" t="s">
        <v>5</v>
      </c>
      <c r="Q15" s="1" t="s">
        <v>5</v>
      </c>
    </row>
    <row r="16" spans="1:17" ht="31.5">
      <c r="A16" s="3" t="s">
        <v>35</v>
      </c>
      <c r="B16" s="13" t="s">
        <v>123</v>
      </c>
      <c r="C16" s="2">
        <v>933123</v>
      </c>
      <c r="D16" s="2">
        <f>C16*L16</f>
        <v>933123</v>
      </c>
      <c r="E16" s="61"/>
      <c r="F16" s="61">
        <f>Список!X16</f>
        <v>1066705.439857392</v>
      </c>
      <c r="G16" s="18" t="s">
        <v>10</v>
      </c>
      <c r="H16" s="21">
        <f>2*250*0.89</f>
        <v>445</v>
      </c>
      <c r="I16" s="68">
        <f>235470</f>
        <v>235470</v>
      </c>
      <c r="J16" s="68" t="e">
        <f>(#REF!-I16)*1/100</f>
        <v>#REF!</v>
      </c>
      <c r="K16" s="8" t="s">
        <v>76</v>
      </c>
      <c r="L16" s="1">
        <v>1</v>
      </c>
      <c r="M16" s="1" t="s">
        <v>5</v>
      </c>
      <c r="N16" s="1" t="s">
        <v>5</v>
      </c>
      <c r="O16" s="1" t="s">
        <v>5</v>
      </c>
      <c r="P16" s="1" t="s">
        <v>5</v>
      </c>
      <c r="Q16" s="1" t="s">
        <v>5</v>
      </c>
    </row>
    <row r="17" spans="1:17" ht="47.25">
      <c r="A17" s="3" t="s">
        <v>36</v>
      </c>
      <c r="B17" s="12" t="s">
        <v>89</v>
      </c>
      <c r="C17" s="11">
        <f>757416</f>
        <v>757416</v>
      </c>
      <c r="D17" s="2">
        <f>C17*N17</f>
        <v>1893540</v>
      </c>
      <c r="E17" s="61"/>
      <c r="F17" s="61">
        <f>Список!W17</f>
        <v>2041978.38768</v>
      </c>
      <c r="G17" s="18"/>
      <c r="H17" s="23"/>
      <c r="I17" s="11"/>
      <c r="J17" s="67">
        <f>D17*3/100</f>
        <v>56806.2</v>
      </c>
      <c r="K17" s="10" t="s">
        <v>74</v>
      </c>
      <c r="L17" s="1" t="s">
        <v>5</v>
      </c>
      <c r="M17" s="1" t="s">
        <v>5</v>
      </c>
      <c r="N17" s="1">
        <v>2.5</v>
      </c>
      <c r="O17" s="1" t="s">
        <v>5</v>
      </c>
      <c r="P17" s="1" t="s">
        <v>5</v>
      </c>
      <c r="Q17" s="1" t="s">
        <v>5</v>
      </c>
    </row>
    <row r="18" spans="1:17" ht="31.5">
      <c r="A18" s="73" t="s">
        <v>37</v>
      </c>
      <c r="B18" s="13" t="s">
        <v>24</v>
      </c>
      <c r="C18" s="2">
        <v>933123</v>
      </c>
      <c r="D18" s="2">
        <f>C18*L18</f>
        <v>933123</v>
      </c>
      <c r="E18" s="61"/>
      <c r="F18" s="61">
        <f>Список!W18</f>
        <v>1006272.378216</v>
      </c>
      <c r="G18" s="18" t="s">
        <v>10</v>
      </c>
      <c r="H18" s="21">
        <f>2*250*0.89</f>
        <v>445</v>
      </c>
      <c r="I18" s="68">
        <f>235470</f>
        <v>235470</v>
      </c>
      <c r="J18" s="68" t="e">
        <f>(#REF!-I18)*1/100</f>
        <v>#REF!</v>
      </c>
      <c r="K18" s="10" t="s">
        <v>76</v>
      </c>
      <c r="L18" s="1">
        <v>1</v>
      </c>
      <c r="M18" s="1" t="s">
        <v>5</v>
      </c>
      <c r="N18" s="1" t="s">
        <v>5</v>
      </c>
      <c r="O18" s="1" t="s">
        <v>5</v>
      </c>
      <c r="P18" s="1" t="s">
        <v>5</v>
      </c>
      <c r="Q18" s="1" t="s">
        <v>5</v>
      </c>
    </row>
    <row r="19" spans="1:17" ht="31.5">
      <c r="A19" s="73" t="s">
        <v>38</v>
      </c>
      <c r="B19" s="13" t="s">
        <v>25</v>
      </c>
      <c r="C19" s="2">
        <v>853238</v>
      </c>
      <c r="D19" s="2">
        <f>C19*L19</f>
        <v>853238</v>
      </c>
      <c r="E19" s="61"/>
      <c r="F19" s="61">
        <f>Список!W19</f>
        <v>920125.033296</v>
      </c>
      <c r="G19" s="18" t="s">
        <v>10</v>
      </c>
      <c r="H19" s="21">
        <f>2*250*0.89</f>
        <v>445</v>
      </c>
      <c r="I19" s="68">
        <f>235470</f>
        <v>235470</v>
      </c>
      <c r="J19" s="68" t="e">
        <f>(#REF!-I19)*1/100</f>
        <v>#REF!</v>
      </c>
      <c r="K19" s="10" t="s">
        <v>76</v>
      </c>
      <c r="L19" s="1">
        <v>1</v>
      </c>
      <c r="M19" s="1" t="s">
        <v>5</v>
      </c>
      <c r="N19" s="1" t="s">
        <v>5</v>
      </c>
      <c r="O19" s="1" t="s">
        <v>5</v>
      </c>
      <c r="P19" s="1" t="s">
        <v>5</v>
      </c>
      <c r="Q19" s="1" t="s">
        <v>5</v>
      </c>
    </row>
    <row r="20" spans="1:17" ht="18.75">
      <c r="A20" s="87"/>
      <c r="B20" s="88"/>
      <c r="C20" s="176"/>
      <c r="D20" s="176"/>
      <c r="E20" s="176"/>
      <c r="F20" s="189" t="s">
        <v>239</v>
      </c>
      <c r="G20" s="177"/>
      <c r="H20" s="190"/>
      <c r="I20" s="178"/>
      <c r="J20" s="178"/>
      <c r="K20" s="179"/>
      <c r="L20" s="27"/>
      <c r="M20" s="27"/>
      <c r="N20" s="27"/>
      <c r="O20" s="27"/>
      <c r="P20" s="27"/>
      <c r="Q20" s="27"/>
    </row>
    <row r="21" spans="1:17" ht="18.75">
      <c r="A21" s="87"/>
      <c r="B21" s="88"/>
      <c r="C21" s="176"/>
      <c r="D21" s="176"/>
      <c r="E21" s="176"/>
      <c r="F21" s="189"/>
      <c r="G21" s="177"/>
      <c r="H21" s="190"/>
      <c r="I21" s="178"/>
      <c r="J21" s="178"/>
      <c r="K21" s="179"/>
      <c r="L21" s="27"/>
      <c r="M21" s="27"/>
      <c r="N21" s="27"/>
      <c r="O21" s="27"/>
      <c r="P21" s="27"/>
      <c r="Q21" s="27"/>
    </row>
    <row r="22" spans="1:17" ht="31.5">
      <c r="A22" s="73" t="s">
        <v>39</v>
      </c>
      <c r="B22" s="13" t="s">
        <v>26</v>
      </c>
      <c r="C22" s="2">
        <f>466241</f>
        <v>466241</v>
      </c>
      <c r="D22" s="2">
        <f>C22*L22</f>
        <v>466241</v>
      </c>
      <c r="E22" s="61"/>
      <c r="F22" s="61">
        <f>Список!W20</f>
        <v>532986.338333264</v>
      </c>
      <c r="G22" s="18" t="s">
        <v>10</v>
      </c>
      <c r="H22" s="20">
        <f>250*0.89</f>
        <v>222.5</v>
      </c>
      <c r="I22" s="68">
        <v>136841</v>
      </c>
      <c r="J22" s="68" t="e">
        <f>(#REF!-I22)*1/100</f>
        <v>#REF!</v>
      </c>
      <c r="K22" s="10" t="s">
        <v>75</v>
      </c>
      <c r="L22" s="1">
        <v>1</v>
      </c>
      <c r="M22" s="1" t="s">
        <v>5</v>
      </c>
      <c r="N22" s="1" t="s">
        <v>5</v>
      </c>
      <c r="O22" s="1" t="s">
        <v>5</v>
      </c>
      <c r="P22" s="1" t="s">
        <v>5</v>
      </c>
      <c r="Q22" s="1" t="s">
        <v>5</v>
      </c>
    </row>
    <row r="23" spans="1:17" ht="31.5">
      <c r="A23" s="3" t="s">
        <v>40</v>
      </c>
      <c r="B23" s="12" t="s">
        <v>22</v>
      </c>
      <c r="C23" s="11">
        <f>757416</f>
        <v>757416</v>
      </c>
      <c r="D23" s="2">
        <f>C23*N23</f>
        <v>1211865.6</v>
      </c>
      <c r="E23" s="61"/>
      <c r="F23" s="61">
        <f>Список!W26</f>
        <v>1306866.1681152</v>
      </c>
      <c r="G23" s="18"/>
      <c r="H23" s="24"/>
      <c r="I23" s="11"/>
      <c r="J23" s="67">
        <f>D23*3/100</f>
        <v>36355.968</v>
      </c>
      <c r="K23" s="10" t="s">
        <v>74</v>
      </c>
      <c r="L23" s="1" t="s">
        <v>5</v>
      </c>
      <c r="M23" s="1" t="s">
        <v>5</v>
      </c>
      <c r="N23" s="1">
        <v>1.6</v>
      </c>
      <c r="O23" s="1" t="s">
        <v>5</v>
      </c>
      <c r="P23" s="1" t="s">
        <v>5</v>
      </c>
      <c r="Q23" s="1" t="s">
        <v>5</v>
      </c>
    </row>
    <row r="24" spans="1:17" ht="31.5">
      <c r="A24" s="3" t="s">
        <v>9</v>
      </c>
      <c r="B24" s="12" t="s">
        <v>23</v>
      </c>
      <c r="C24" s="2"/>
      <c r="D24" s="2"/>
      <c r="E24" s="61"/>
      <c r="F24" s="61">
        <f>Список!W27</f>
        <v>9554717.035583999</v>
      </c>
      <c r="G24" s="18"/>
      <c r="H24" s="25"/>
      <c r="I24" s="2"/>
      <c r="J24" s="67">
        <f>D24*3/100</f>
        <v>0</v>
      </c>
      <c r="K24" s="10" t="s">
        <v>92</v>
      </c>
      <c r="L24" s="1" t="s">
        <v>5</v>
      </c>
      <c r="M24" s="1" t="s">
        <v>5</v>
      </c>
      <c r="N24" s="1" t="s">
        <v>5</v>
      </c>
      <c r="O24" s="1" t="s">
        <v>5</v>
      </c>
      <c r="P24" s="1">
        <v>12</v>
      </c>
      <c r="Q24" s="1" t="s">
        <v>5</v>
      </c>
    </row>
    <row r="25" spans="1:17" ht="19.5" customHeight="1">
      <c r="A25" s="298" t="s">
        <v>90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300"/>
    </row>
    <row r="26" spans="1:17" ht="31.5">
      <c r="A26" s="73" t="s">
        <v>141</v>
      </c>
      <c r="B26" s="13" t="s">
        <v>91</v>
      </c>
      <c r="C26" s="2"/>
      <c r="D26" s="2"/>
      <c r="E26" s="61"/>
      <c r="F26" s="61">
        <f>Список!W29</f>
        <v>2454244.4141039997</v>
      </c>
      <c r="G26" s="18" t="s">
        <v>10</v>
      </c>
      <c r="H26" s="28">
        <f>2*630*0.89</f>
        <v>1121.4</v>
      </c>
      <c r="I26" s="2" t="e">
        <f>#REF!*28/100</f>
        <v>#REF!</v>
      </c>
      <c r="J26" s="68" t="e">
        <f>(#REF!-I26)*1/100</f>
        <v>#REF!</v>
      </c>
      <c r="K26" s="10" t="s">
        <v>80</v>
      </c>
      <c r="L26" s="1">
        <v>1</v>
      </c>
      <c r="M26" s="1" t="s">
        <v>5</v>
      </c>
      <c r="N26" s="1" t="s">
        <v>5</v>
      </c>
      <c r="O26" s="1" t="s">
        <v>5</v>
      </c>
      <c r="P26" s="1" t="s">
        <v>5</v>
      </c>
      <c r="Q26" s="1" t="s">
        <v>5</v>
      </c>
    </row>
    <row r="27" spans="1:17" ht="31.5">
      <c r="A27" s="3" t="s">
        <v>142</v>
      </c>
      <c r="B27" s="12" t="s">
        <v>93</v>
      </c>
      <c r="C27" s="11"/>
      <c r="D27" s="2"/>
      <c r="E27" s="61"/>
      <c r="F27" s="61">
        <f>Список!W30</f>
        <v>816791.355072</v>
      </c>
      <c r="G27" s="18"/>
      <c r="H27" s="25"/>
      <c r="I27" s="11"/>
      <c r="J27" s="67">
        <f>D27*3/100</f>
        <v>0</v>
      </c>
      <c r="K27" s="8" t="s">
        <v>74</v>
      </c>
      <c r="L27" s="1" t="s">
        <v>5</v>
      </c>
      <c r="M27" s="1" t="s">
        <v>5</v>
      </c>
      <c r="N27" s="1">
        <v>1</v>
      </c>
      <c r="O27" s="1" t="s">
        <v>5</v>
      </c>
      <c r="P27" s="1" t="s">
        <v>5</v>
      </c>
      <c r="Q27" s="1" t="s">
        <v>5</v>
      </c>
    </row>
    <row r="28" spans="1:17" ht="31.5">
      <c r="A28" s="3" t="s">
        <v>143</v>
      </c>
      <c r="B28" s="12" t="s">
        <v>94</v>
      </c>
      <c r="C28" s="11"/>
      <c r="D28" s="2"/>
      <c r="E28" s="61"/>
      <c r="F28" s="61">
        <f>Список!W31</f>
        <v>326716.5420288</v>
      </c>
      <c r="G28" s="18"/>
      <c r="H28" s="25"/>
      <c r="I28" s="11"/>
      <c r="J28" s="67">
        <f>D28*3/100</f>
        <v>0</v>
      </c>
      <c r="K28" s="8" t="s">
        <v>74</v>
      </c>
      <c r="L28" s="1" t="s">
        <v>5</v>
      </c>
      <c r="M28" s="1" t="s">
        <v>5</v>
      </c>
      <c r="N28" s="1">
        <v>0.4</v>
      </c>
      <c r="O28" s="1" t="s">
        <v>5</v>
      </c>
      <c r="P28" s="1" t="s">
        <v>5</v>
      </c>
      <c r="Q28" s="1" t="s">
        <v>5</v>
      </c>
    </row>
    <row r="29" spans="1:17" ht="31.5">
      <c r="A29" s="3" t="s">
        <v>144</v>
      </c>
      <c r="B29" s="12" t="s">
        <v>23</v>
      </c>
      <c r="C29" s="2"/>
      <c r="D29" s="2"/>
      <c r="E29" s="61"/>
      <c r="F29" s="61">
        <f>Список!X32</f>
        <v>1194339.6294479999</v>
      </c>
      <c r="G29" s="18"/>
      <c r="H29" s="25"/>
      <c r="I29" s="2"/>
      <c r="J29" s="67">
        <f>D29*3/100</f>
        <v>0</v>
      </c>
      <c r="K29" s="10" t="s">
        <v>92</v>
      </c>
      <c r="L29" s="1" t="s">
        <v>5</v>
      </c>
      <c r="M29" s="1" t="s">
        <v>5</v>
      </c>
      <c r="N29" s="1" t="s">
        <v>5</v>
      </c>
      <c r="O29" s="1" t="s">
        <v>5</v>
      </c>
      <c r="P29" s="1">
        <v>1.5</v>
      </c>
      <c r="Q29" s="1" t="s">
        <v>5</v>
      </c>
    </row>
    <row r="30" spans="1:17" ht="19.5" customHeight="1">
      <c r="A30" s="298" t="s">
        <v>96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0"/>
    </row>
    <row r="31" spans="1:17" ht="31.5">
      <c r="A31" s="73" t="s">
        <v>145</v>
      </c>
      <c r="B31" s="13" t="s">
        <v>104</v>
      </c>
      <c r="C31" s="2"/>
      <c r="D31" s="2"/>
      <c r="E31" s="61"/>
      <c r="F31" s="61">
        <f>Список!X34</f>
        <v>595355.8031232</v>
      </c>
      <c r="G31" s="18" t="s">
        <v>10</v>
      </c>
      <c r="H31" s="29">
        <v>356</v>
      </c>
      <c r="I31" s="2" t="e">
        <f>#REF!*13.7/100</f>
        <v>#REF!</v>
      </c>
      <c r="J31" s="68" t="e">
        <f>(#REF!-I31)*1/100</f>
        <v>#REF!</v>
      </c>
      <c r="K31" s="10" t="s">
        <v>100</v>
      </c>
      <c r="L31" s="1">
        <v>1</v>
      </c>
      <c r="M31" s="1" t="s">
        <v>5</v>
      </c>
      <c r="N31" s="1" t="s">
        <v>5</v>
      </c>
      <c r="O31" s="1" t="s">
        <v>5</v>
      </c>
      <c r="P31" s="1" t="s">
        <v>5</v>
      </c>
      <c r="Q31" s="1" t="s">
        <v>5</v>
      </c>
    </row>
    <row r="32" spans="1:17" ht="47.25">
      <c r="A32" s="3" t="s">
        <v>146</v>
      </c>
      <c r="B32" s="12" t="s">
        <v>98</v>
      </c>
      <c r="C32" s="11">
        <f>702602</f>
        <v>702602</v>
      </c>
      <c r="D32" s="2">
        <f>C32*N32</f>
        <v>843122.4</v>
      </c>
      <c r="E32" s="61"/>
      <c r="F32" s="61">
        <f>Список!X35</f>
        <v>963820.6866036096</v>
      </c>
      <c r="G32" s="18"/>
      <c r="H32" s="25"/>
      <c r="I32" s="11"/>
      <c r="J32" s="67">
        <f>D32*3/100</f>
        <v>25293.672000000002</v>
      </c>
      <c r="K32" s="8" t="s">
        <v>16</v>
      </c>
      <c r="L32" s="1" t="s">
        <v>5</v>
      </c>
      <c r="M32" s="1" t="s">
        <v>5</v>
      </c>
      <c r="N32" s="1">
        <v>1.2</v>
      </c>
      <c r="O32" s="1" t="s">
        <v>5</v>
      </c>
      <c r="P32" s="1" t="s">
        <v>5</v>
      </c>
      <c r="Q32" s="1" t="s">
        <v>5</v>
      </c>
    </row>
    <row r="33" spans="1:17" ht="31.5">
      <c r="A33" s="73" t="s">
        <v>147</v>
      </c>
      <c r="B33" s="13" t="s">
        <v>105</v>
      </c>
      <c r="C33" s="2"/>
      <c r="D33" s="2"/>
      <c r="E33" s="61"/>
      <c r="F33" s="61">
        <f>Список!X36</f>
        <v>595355.8031232</v>
      </c>
      <c r="G33" s="18" t="s">
        <v>10</v>
      </c>
      <c r="H33" s="29">
        <v>356</v>
      </c>
      <c r="I33" s="2" t="e">
        <f>#REF!*13.7/100</f>
        <v>#REF!</v>
      </c>
      <c r="J33" s="68" t="e">
        <f>(#REF!-I33)*1/100</f>
        <v>#REF!</v>
      </c>
      <c r="K33" s="10" t="s">
        <v>100</v>
      </c>
      <c r="L33" s="1">
        <v>1</v>
      </c>
      <c r="M33" s="1" t="s">
        <v>5</v>
      </c>
      <c r="N33" s="1" t="s">
        <v>5</v>
      </c>
      <c r="O33" s="1" t="s">
        <v>5</v>
      </c>
      <c r="P33" s="1" t="s">
        <v>5</v>
      </c>
      <c r="Q33" s="1" t="s">
        <v>5</v>
      </c>
    </row>
    <row r="34" spans="1:17" ht="47.25">
      <c r="A34" s="3" t="s">
        <v>148</v>
      </c>
      <c r="B34" s="12" t="s">
        <v>101</v>
      </c>
      <c r="C34" s="11">
        <f>702602</f>
        <v>702602</v>
      </c>
      <c r="D34" s="2">
        <f>C34*N34</f>
        <v>281040.8</v>
      </c>
      <c r="E34" s="61"/>
      <c r="F34" s="61">
        <f>Список!X37</f>
        <v>321273.56220120325</v>
      </c>
      <c r="G34" s="18"/>
      <c r="H34" s="25"/>
      <c r="I34" s="11"/>
      <c r="J34" s="67">
        <f>D34*3/100</f>
        <v>8431.223999999998</v>
      </c>
      <c r="K34" s="8" t="s">
        <v>16</v>
      </c>
      <c r="L34" s="1" t="s">
        <v>5</v>
      </c>
      <c r="M34" s="1" t="s">
        <v>5</v>
      </c>
      <c r="N34" s="1">
        <v>0.4</v>
      </c>
      <c r="O34" s="1" t="s">
        <v>5</v>
      </c>
      <c r="P34" s="1" t="s">
        <v>5</v>
      </c>
      <c r="Q34" s="1" t="s">
        <v>5</v>
      </c>
    </row>
    <row r="35" spans="1:17" ht="31.5">
      <c r="A35" s="3" t="s">
        <v>149</v>
      </c>
      <c r="B35" s="12" t="s">
        <v>102</v>
      </c>
      <c r="C35" s="11">
        <f>702602</f>
        <v>702602</v>
      </c>
      <c r="D35" s="2">
        <f>C35*N35</f>
        <v>351301</v>
      </c>
      <c r="E35" s="61"/>
      <c r="F35" s="61">
        <f>Список!X38</f>
        <v>401591.952751504</v>
      </c>
      <c r="G35" s="18"/>
      <c r="H35" s="25"/>
      <c r="I35" s="11"/>
      <c r="J35" s="67">
        <f>D35*3/100</f>
        <v>10539.03</v>
      </c>
      <c r="K35" s="8" t="s">
        <v>16</v>
      </c>
      <c r="L35" s="1" t="s">
        <v>5</v>
      </c>
      <c r="M35" s="1" t="s">
        <v>5</v>
      </c>
      <c r="N35" s="1">
        <v>0.5</v>
      </c>
      <c r="O35" s="1" t="s">
        <v>5</v>
      </c>
      <c r="P35" s="1" t="s">
        <v>5</v>
      </c>
      <c r="Q35" s="1" t="s">
        <v>5</v>
      </c>
    </row>
    <row r="36" spans="1:17" ht="31.5">
      <c r="A36" s="3" t="s">
        <v>150</v>
      </c>
      <c r="B36" s="12" t="s">
        <v>103</v>
      </c>
      <c r="C36" s="2">
        <v>777465</v>
      </c>
      <c r="D36" s="2">
        <f>C36*P36</f>
        <v>1554930</v>
      </c>
      <c r="E36" s="61"/>
      <c r="F36" s="61">
        <f>Список!X39</f>
        <v>1688089.7688663679</v>
      </c>
      <c r="G36" s="18"/>
      <c r="H36" s="25"/>
      <c r="I36" s="2"/>
      <c r="J36" s="67">
        <f>D36*3/100</f>
        <v>46647.9</v>
      </c>
      <c r="K36" s="10" t="s">
        <v>92</v>
      </c>
      <c r="L36" s="1" t="s">
        <v>5</v>
      </c>
      <c r="M36" s="1" t="s">
        <v>5</v>
      </c>
      <c r="N36" s="1" t="s">
        <v>5</v>
      </c>
      <c r="O36" s="1" t="s">
        <v>5</v>
      </c>
      <c r="P36" s="1">
        <v>2</v>
      </c>
      <c r="Q36" s="1" t="s">
        <v>5</v>
      </c>
    </row>
    <row r="37" spans="1:17" ht="19.5" customHeight="1">
      <c r="A37" s="298" t="s">
        <v>106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7" ht="31.5">
      <c r="A38" s="73" t="s">
        <v>151</v>
      </c>
      <c r="B38" s="13" t="s">
        <v>234</v>
      </c>
      <c r="C38" s="2">
        <f>1592153*1.048</f>
        <v>1668576.344</v>
      </c>
      <c r="D38" s="2">
        <f>C38*L38</f>
        <v>1668576.344</v>
      </c>
      <c r="E38" s="61"/>
      <c r="F38" s="61">
        <f>Список!Y46</f>
        <v>2002127.510906198</v>
      </c>
      <c r="G38" s="18" t="s">
        <v>10</v>
      </c>
      <c r="H38" s="29">
        <v>712</v>
      </c>
      <c r="I38" s="68">
        <f>218481*1.048*1.029</f>
        <v>235608.162552</v>
      </c>
      <c r="J38" s="68" t="e">
        <f>(#REF!-I38)*1/100</f>
        <v>#REF!</v>
      </c>
      <c r="K38" s="10" t="s">
        <v>108</v>
      </c>
      <c r="L38" s="1">
        <v>1</v>
      </c>
      <c r="M38" s="1" t="s">
        <v>5</v>
      </c>
      <c r="N38" s="1" t="s">
        <v>5</v>
      </c>
      <c r="O38" s="1" t="s">
        <v>5</v>
      </c>
      <c r="P38" s="1" t="s">
        <v>5</v>
      </c>
      <c r="Q38" s="1" t="s">
        <v>5</v>
      </c>
    </row>
    <row r="39" spans="1:17" ht="48.75" customHeight="1">
      <c r="A39" s="3" t="s">
        <v>152</v>
      </c>
      <c r="B39" s="12" t="s">
        <v>107</v>
      </c>
      <c r="C39" s="11">
        <f>702602</f>
        <v>702602</v>
      </c>
      <c r="D39" s="2">
        <f>C39*N39</f>
        <v>807992.2999999999</v>
      </c>
      <c r="E39" s="61"/>
      <c r="F39" s="61">
        <f>Список!Y47</f>
        <v>969511.295211299</v>
      </c>
      <c r="G39" s="18"/>
      <c r="H39" s="25"/>
      <c r="I39" s="11"/>
      <c r="J39" s="67">
        <f>D39*3/100</f>
        <v>24239.769</v>
      </c>
      <c r="K39" s="8" t="s">
        <v>16</v>
      </c>
      <c r="L39" s="1" t="s">
        <v>5</v>
      </c>
      <c r="M39" s="1" t="s">
        <v>5</v>
      </c>
      <c r="N39" s="1">
        <v>1.15</v>
      </c>
      <c r="O39" s="1" t="s">
        <v>5</v>
      </c>
      <c r="P39" s="1" t="s">
        <v>5</v>
      </c>
      <c r="Q39" s="1" t="s">
        <v>5</v>
      </c>
    </row>
    <row r="40" spans="1:17" ht="18.75">
      <c r="A40" s="171"/>
      <c r="B40" s="175"/>
      <c r="C40" s="191"/>
      <c r="D40" s="176"/>
      <c r="E40" s="176"/>
      <c r="F40" s="189" t="s">
        <v>240</v>
      </c>
      <c r="G40" s="177"/>
      <c r="H40" s="192"/>
      <c r="I40" s="191"/>
      <c r="J40" s="193"/>
      <c r="K40" s="194"/>
      <c r="L40" s="27"/>
      <c r="M40" s="27"/>
      <c r="N40" s="27"/>
      <c r="O40" s="27"/>
      <c r="P40" s="27"/>
      <c r="Q40" s="27"/>
    </row>
    <row r="41" spans="1:17" ht="18.75">
      <c r="A41" s="171"/>
      <c r="B41" s="175"/>
      <c r="C41" s="191"/>
      <c r="D41" s="176"/>
      <c r="E41" s="176"/>
      <c r="F41" s="189"/>
      <c r="G41" s="177"/>
      <c r="H41" s="192"/>
      <c r="I41" s="191"/>
      <c r="J41" s="193"/>
      <c r="K41" s="194"/>
      <c r="L41" s="27"/>
      <c r="M41" s="27"/>
      <c r="N41" s="27"/>
      <c r="O41" s="27"/>
      <c r="P41" s="27"/>
      <c r="Q41" s="27"/>
    </row>
    <row r="42" spans="1:17" ht="31.5">
      <c r="A42" s="73" t="s">
        <v>153</v>
      </c>
      <c r="B42" s="13" t="s">
        <v>235</v>
      </c>
      <c r="C42" s="2"/>
      <c r="D42" s="2"/>
      <c r="E42" s="61"/>
      <c r="F42" s="61">
        <f>Список!Y48</f>
        <v>624908.7801282816</v>
      </c>
      <c r="G42" s="18" t="s">
        <v>10</v>
      </c>
      <c r="H42" s="29">
        <v>356</v>
      </c>
      <c r="I42" s="2" t="e">
        <f>#REF!*13.7/100</f>
        <v>#REF!</v>
      </c>
      <c r="J42" s="68" t="e">
        <f>(#REF!-I42)*1/100</f>
        <v>#REF!</v>
      </c>
      <c r="K42" s="10" t="s">
        <v>100</v>
      </c>
      <c r="L42" s="1">
        <v>1</v>
      </c>
      <c r="M42" s="1" t="s">
        <v>5</v>
      </c>
      <c r="N42" s="1" t="s">
        <v>5</v>
      </c>
      <c r="O42" s="1" t="s">
        <v>5</v>
      </c>
      <c r="P42" s="1" t="s">
        <v>5</v>
      </c>
      <c r="Q42" s="1" t="s">
        <v>5</v>
      </c>
    </row>
    <row r="43" spans="1:17" ht="31.5">
      <c r="A43" s="3" t="s">
        <v>154</v>
      </c>
      <c r="B43" s="12" t="s">
        <v>110</v>
      </c>
      <c r="C43" s="11">
        <f>702602</f>
        <v>702602</v>
      </c>
      <c r="D43" s="2">
        <f>C43*N43</f>
        <v>562081.6</v>
      </c>
      <c r="E43" s="61"/>
      <c r="F43" s="61">
        <f>Список!Y49</f>
        <v>674442.6401469908</v>
      </c>
      <c r="G43" s="18"/>
      <c r="H43" s="25"/>
      <c r="I43" s="11"/>
      <c r="J43" s="67">
        <f>D43*3/100</f>
        <v>16862.447999999997</v>
      </c>
      <c r="K43" s="8" t="s">
        <v>16</v>
      </c>
      <c r="L43" s="1" t="s">
        <v>5</v>
      </c>
      <c r="M43" s="1" t="s">
        <v>5</v>
      </c>
      <c r="N43" s="1">
        <v>0.8</v>
      </c>
      <c r="O43" s="1" t="s">
        <v>5</v>
      </c>
      <c r="P43" s="1" t="s">
        <v>5</v>
      </c>
      <c r="Q43" s="1" t="s">
        <v>5</v>
      </c>
    </row>
    <row r="44" spans="1:17" ht="31.5">
      <c r="A44" s="3" t="s">
        <v>155</v>
      </c>
      <c r="B44" s="12" t="s">
        <v>111</v>
      </c>
      <c r="C44" s="11">
        <f>702602</f>
        <v>702602</v>
      </c>
      <c r="D44" s="2">
        <f>C44*N44</f>
        <v>140520.4</v>
      </c>
      <c r="E44" s="61"/>
      <c r="F44" s="61">
        <f>Список!Y50</f>
        <v>168610.6600367477</v>
      </c>
      <c r="G44" s="18"/>
      <c r="H44" s="25"/>
      <c r="I44" s="11"/>
      <c r="J44" s="67">
        <f>D44*3/100</f>
        <v>4215.611999999999</v>
      </c>
      <c r="K44" s="8" t="s">
        <v>16</v>
      </c>
      <c r="L44" s="1" t="s">
        <v>5</v>
      </c>
      <c r="M44" s="1" t="s">
        <v>5</v>
      </c>
      <c r="N44" s="1">
        <v>0.2</v>
      </c>
      <c r="O44" s="1" t="s">
        <v>5</v>
      </c>
      <c r="P44" s="1" t="s">
        <v>5</v>
      </c>
      <c r="Q44" s="1" t="s">
        <v>5</v>
      </c>
    </row>
    <row r="45" spans="1:17" ht="31.5">
      <c r="A45" s="3" t="s">
        <v>156</v>
      </c>
      <c r="B45" s="12" t="s">
        <v>112</v>
      </c>
      <c r="C45" s="2">
        <v>777465</v>
      </c>
      <c r="D45" s="2">
        <f>C45*P45</f>
        <v>932958</v>
      </c>
      <c r="E45" s="61"/>
      <c r="F45" s="61">
        <f>Список!Y51</f>
        <v>1063131.1017801755</v>
      </c>
      <c r="G45" s="18"/>
      <c r="H45" s="25"/>
      <c r="I45" s="2"/>
      <c r="J45" s="67">
        <f>D45*3/100</f>
        <v>27988.74</v>
      </c>
      <c r="K45" s="10" t="s">
        <v>92</v>
      </c>
      <c r="L45" s="1" t="s">
        <v>5</v>
      </c>
      <c r="M45" s="1" t="s">
        <v>5</v>
      </c>
      <c r="N45" s="1" t="s">
        <v>5</v>
      </c>
      <c r="O45" s="1" t="s">
        <v>5</v>
      </c>
      <c r="P45" s="1">
        <v>1.2</v>
      </c>
      <c r="Q45" s="1" t="s">
        <v>5</v>
      </c>
    </row>
    <row r="46" spans="1:17" ht="19.5" customHeight="1">
      <c r="A46" s="298" t="s">
        <v>113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300"/>
    </row>
    <row r="47" spans="1:17" ht="31.5">
      <c r="A47" s="73" t="s">
        <v>157</v>
      </c>
      <c r="B47" s="13" t="s">
        <v>91</v>
      </c>
      <c r="C47" s="2"/>
      <c r="D47" s="2"/>
      <c r="E47" s="61"/>
      <c r="F47" s="61">
        <f>Список!Y53</f>
        <v>2730780.574963149</v>
      </c>
      <c r="G47" s="18" t="s">
        <v>10</v>
      </c>
      <c r="H47" s="28">
        <f>2*630*0.89</f>
        <v>1121.4</v>
      </c>
      <c r="I47" s="2">
        <v>543095</v>
      </c>
      <c r="J47" s="68" t="e">
        <f>(#REF!-I47)*1/100</f>
        <v>#REF!</v>
      </c>
      <c r="K47" s="10" t="s">
        <v>80</v>
      </c>
      <c r="L47" s="1">
        <v>1</v>
      </c>
      <c r="M47" s="1" t="s">
        <v>5</v>
      </c>
      <c r="N47" s="1" t="s">
        <v>5</v>
      </c>
      <c r="O47" s="1" t="s">
        <v>5</v>
      </c>
      <c r="P47" s="1" t="s">
        <v>5</v>
      </c>
      <c r="Q47" s="1" t="s">
        <v>5</v>
      </c>
    </row>
    <row r="48" spans="1:17" ht="31.5">
      <c r="A48" s="3" t="s">
        <v>158</v>
      </c>
      <c r="B48" s="12" t="s">
        <v>114</v>
      </c>
      <c r="C48" s="11">
        <f>757416</f>
        <v>757416</v>
      </c>
      <c r="D48" s="2">
        <f>C48*N48</f>
        <v>833157.6000000001</v>
      </c>
      <c r="E48" s="61"/>
      <c r="F48" s="61">
        <f>Список!Y54</f>
        <v>999707.1802431006</v>
      </c>
      <c r="G48" s="18"/>
      <c r="H48" s="25"/>
      <c r="I48" s="11"/>
      <c r="J48" s="67">
        <f>D48*3/100</f>
        <v>24994.728000000003</v>
      </c>
      <c r="K48" s="8" t="s">
        <v>74</v>
      </c>
      <c r="L48" s="1" t="s">
        <v>5</v>
      </c>
      <c r="M48" s="1" t="s">
        <v>5</v>
      </c>
      <c r="N48" s="1">
        <v>1.1</v>
      </c>
      <c r="O48" s="1" t="s">
        <v>5</v>
      </c>
      <c r="P48" s="1" t="s">
        <v>5</v>
      </c>
      <c r="Q48" s="1" t="s">
        <v>5</v>
      </c>
    </row>
    <row r="49" spans="1:17" ht="31.5">
      <c r="A49" s="3" t="s">
        <v>159</v>
      </c>
      <c r="B49" s="12" t="s">
        <v>119</v>
      </c>
      <c r="C49" s="2">
        <f>945096</f>
        <v>945096</v>
      </c>
      <c r="D49" s="2">
        <f>C49*O49</f>
        <v>945096</v>
      </c>
      <c r="E49" s="61"/>
      <c r="F49" s="61">
        <f>Список!Y55</f>
        <v>1134022.251275189</v>
      </c>
      <c r="G49" s="18"/>
      <c r="H49" s="25"/>
      <c r="I49" s="2"/>
      <c r="J49" s="67">
        <f>D49*3/100</f>
        <v>28352.88</v>
      </c>
      <c r="K49" s="8" t="s">
        <v>17</v>
      </c>
      <c r="L49" s="1" t="s">
        <v>5</v>
      </c>
      <c r="M49" s="1" t="s">
        <v>5</v>
      </c>
      <c r="N49" s="1" t="s">
        <v>5</v>
      </c>
      <c r="O49" s="1">
        <v>1</v>
      </c>
      <c r="P49" s="1" t="s">
        <v>5</v>
      </c>
      <c r="Q49" s="1" t="s">
        <v>5</v>
      </c>
    </row>
    <row r="50" spans="1:17" ht="19.5" customHeight="1">
      <c r="A50" s="298" t="s">
        <v>117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300"/>
    </row>
    <row r="51" spans="1:17" ht="31.5">
      <c r="A51" s="73" t="s">
        <v>160</v>
      </c>
      <c r="B51" s="13" t="s">
        <v>120</v>
      </c>
      <c r="C51" s="2"/>
      <c r="D51" s="2"/>
      <c r="E51" s="61"/>
      <c r="F51" s="61">
        <f>Список!X57</f>
        <v>524459.535461728</v>
      </c>
      <c r="G51" s="18" t="s">
        <v>10</v>
      </c>
      <c r="H51" s="29">
        <f>400*0.89*L51</f>
        <v>356</v>
      </c>
      <c r="I51" s="2" t="e">
        <f>#REF!*13.7/100</f>
        <v>#REF!</v>
      </c>
      <c r="J51" s="68" t="e">
        <f>(#REF!-I51)*1/100</f>
        <v>#REF!</v>
      </c>
      <c r="K51" s="10" t="s">
        <v>100</v>
      </c>
      <c r="L51" s="1">
        <v>1</v>
      </c>
      <c r="M51" s="1" t="s">
        <v>5</v>
      </c>
      <c r="N51" s="1" t="s">
        <v>5</v>
      </c>
      <c r="O51" s="1" t="s">
        <v>5</v>
      </c>
      <c r="P51" s="1" t="s">
        <v>5</v>
      </c>
      <c r="Q51" s="1" t="s">
        <v>5</v>
      </c>
    </row>
    <row r="52" spans="1:17" ht="31.5">
      <c r="A52" s="3" t="s">
        <v>161</v>
      </c>
      <c r="B52" s="12" t="s">
        <v>118</v>
      </c>
      <c r="C52" s="11">
        <f>702602</f>
        <v>702602</v>
      </c>
      <c r="D52" s="2">
        <f>C52*N52</f>
        <v>1897025.4000000001</v>
      </c>
      <c r="E52" s="61"/>
      <c r="F52" s="61">
        <f>Список!X58</f>
        <v>2168596.544858122</v>
      </c>
      <c r="G52" s="18"/>
      <c r="H52" s="29"/>
      <c r="I52" s="11"/>
      <c r="J52" s="67">
        <f>D52*3/100</f>
        <v>56910.762</v>
      </c>
      <c r="K52" s="8" t="s">
        <v>16</v>
      </c>
      <c r="L52" s="1" t="s">
        <v>5</v>
      </c>
      <c r="M52" s="1" t="s">
        <v>5</v>
      </c>
      <c r="N52" s="1">
        <v>2.7</v>
      </c>
      <c r="O52" s="1" t="s">
        <v>5</v>
      </c>
      <c r="P52" s="1" t="s">
        <v>5</v>
      </c>
      <c r="Q52" s="1" t="s">
        <v>5</v>
      </c>
    </row>
    <row r="53" spans="1:17" ht="31.5">
      <c r="A53" s="73" t="s">
        <v>162</v>
      </c>
      <c r="B53" s="13" t="s">
        <v>97</v>
      </c>
      <c r="C53" s="2"/>
      <c r="D53" s="2"/>
      <c r="E53" s="61"/>
      <c r="F53" s="61">
        <f>Список!X59</f>
        <v>524459.535461728</v>
      </c>
      <c r="G53" s="18" t="s">
        <v>10</v>
      </c>
      <c r="H53" s="29">
        <f>400*0.89*L53</f>
        <v>356</v>
      </c>
      <c r="I53" s="2" t="e">
        <f>#REF!*13.7/100</f>
        <v>#REF!</v>
      </c>
      <c r="J53" s="68" t="e">
        <f>(#REF!-I53)*1/100</f>
        <v>#REF!</v>
      </c>
      <c r="K53" s="10" t="s">
        <v>100</v>
      </c>
      <c r="L53" s="1">
        <v>1</v>
      </c>
      <c r="M53" s="1" t="s">
        <v>5</v>
      </c>
      <c r="N53" s="1" t="s">
        <v>5</v>
      </c>
      <c r="O53" s="1" t="s">
        <v>5</v>
      </c>
      <c r="P53" s="1" t="s">
        <v>5</v>
      </c>
      <c r="Q53" s="1" t="s">
        <v>5</v>
      </c>
    </row>
    <row r="54" spans="1:17" ht="36.75" customHeight="1">
      <c r="A54" s="3" t="s">
        <v>163</v>
      </c>
      <c r="B54" s="12" t="s">
        <v>137</v>
      </c>
      <c r="C54" s="11">
        <f>702602</f>
        <v>702602</v>
      </c>
      <c r="D54" s="2">
        <f>C54*N54</f>
        <v>210780.6</v>
      </c>
      <c r="E54" s="61"/>
      <c r="F54" s="61">
        <f>Список!X65</f>
        <v>240955.1716509024</v>
      </c>
      <c r="G54" s="18"/>
      <c r="H54" s="25"/>
      <c r="I54" s="11"/>
      <c r="J54" s="67">
        <f>D54*3/100</f>
        <v>6323.418000000001</v>
      </c>
      <c r="K54" s="8" t="s">
        <v>16</v>
      </c>
      <c r="L54" s="1" t="s">
        <v>5</v>
      </c>
      <c r="M54" s="1" t="s">
        <v>5</v>
      </c>
      <c r="N54" s="1">
        <v>0.3</v>
      </c>
      <c r="O54" s="1" t="s">
        <v>5</v>
      </c>
      <c r="P54" s="1" t="s">
        <v>5</v>
      </c>
      <c r="Q54" s="1" t="s">
        <v>5</v>
      </c>
    </row>
    <row r="55" spans="1:17" ht="15.75">
      <c r="A55" s="30" t="s">
        <v>164</v>
      </c>
      <c r="B55" s="37" t="s">
        <v>127</v>
      </c>
      <c r="C55" s="11"/>
      <c r="D55" s="2"/>
      <c r="E55" s="61"/>
      <c r="F55" s="61">
        <f>Список!N67</f>
        <v>3726088.250824096</v>
      </c>
      <c r="G55" s="18" t="s">
        <v>221</v>
      </c>
      <c r="H55" s="29">
        <v>1780</v>
      </c>
      <c r="I55" s="2">
        <v>2034191</v>
      </c>
      <c r="J55" s="68" t="e">
        <f>(#REF!-I55)*1/100</f>
        <v>#REF!</v>
      </c>
      <c r="K55" s="8"/>
      <c r="L55" s="1"/>
      <c r="M55" s="1"/>
      <c r="N55" s="1"/>
      <c r="O55" s="1"/>
      <c r="P55" s="1"/>
      <c r="Q55" s="1"/>
    </row>
    <row r="56" spans="1:17" ht="15.75">
      <c r="A56" s="30"/>
      <c r="B56" s="13" t="s">
        <v>133</v>
      </c>
      <c r="C56" s="11">
        <v>857749</v>
      </c>
      <c r="D56" s="2"/>
      <c r="E56" s="61"/>
      <c r="F56" s="61">
        <f>Список!Y68</f>
        <v>757530.4417170765</v>
      </c>
      <c r="G56" s="18"/>
      <c r="H56" s="25"/>
      <c r="I56" s="2"/>
      <c r="J56" s="68"/>
      <c r="K56" s="8"/>
      <c r="L56" s="1"/>
      <c r="M56" s="1"/>
      <c r="N56" s="1"/>
      <c r="O56" s="1"/>
      <c r="P56" s="1"/>
      <c r="Q56" s="1"/>
    </row>
    <row r="57" spans="1:17" ht="15.75">
      <c r="A57" s="3"/>
      <c r="B57" s="12" t="s">
        <v>128</v>
      </c>
      <c r="C57" s="11"/>
      <c r="D57" s="5"/>
      <c r="E57" s="62"/>
      <c r="F57" s="5">
        <f>SUM(F9:F56)</f>
        <v>50440678.469668336</v>
      </c>
      <c r="G57" s="18"/>
      <c r="H57" s="25"/>
      <c r="I57" s="11"/>
      <c r="J57" s="5" t="e">
        <f>SUM(J9:J56)</f>
        <v>#REF!</v>
      </c>
      <c r="K57" s="8"/>
      <c r="L57" s="1"/>
      <c r="M57" s="1"/>
      <c r="N57" s="1"/>
      <c r="O57" s="1"/>
      <c r="P57" s="1"/>
      <c r="Q57" s="1"/>
    </row>
    <row r="58" spans="1:17" ht="15.75">
      <c r="A58" s="169"/>
      <c r="B58" s="184" t="s">
        <v>6</v>
      </c>
      <c r="C58" s="173"/>
      <c r="D58" s="185">
        <v>147000</v>
      </c>
      <c r="E58" s="84"/>
      <c r="F58" s="185">
        <f>Список!W70+Список!X70+Список!Y70</f>
        <v>470690.45838378085</v>
      </c>
      <c r="G58" s="95"/>
      <c r="H58" s="94"/>
      <c r="I58" s="173"/>
      <c r="J58" s="173"/>
      <c r="K58" s="174"/>
      <c r="L58" s="170"/>
      <c r="M58" s="170"/>
      <c r="N58" s="170"/>
      <c r="O58" s="170"/>
      <c r="P58" s="170"/>
      <c r="Q58" s="170"/>
    </row>
    <row r="59" spans="1:19" ht="18.75">
      <c r="A59" s="3"/>
      <c r="B59" s="13" t="s">
        <v>131</v>
      </c>
      <c r="C59" s="38"/>
      <c r="D59" s="186"/>
      <c r="E59" s="187"/>
      <c r="F59" s="230">
        <f>F57+F58</f>
        <v>50911368.92805212</v>
      </c>
      <c r="G59" s="35" t="s">
        <v>221</v>
      </c>
      <c r="H59" s="44">
        <f>SUM(H9:H57)</f>
        <v>9852.3</v>
      </c>
      <c r="I59" s="38"/>
      <c r="J59" s="38"/>
      <c r="K59" s="9"/>
      <c r="L59" s="4">
        <f>SUM(L10:L57)</f>
        <v>17</v>
      </c>
      <c r="M59" s="1" t="s">
        <v>5</v>
      </c>
      <c r="N59" s="4">
        <f>SUM(N9:N57)</f>
        <v>16.25</v>
      </c>
      <c r="O59" s="4">
        <f>SUM(O49:O55)</f>
        <v>1</v>
      </c>
      <c r="P59" s="99">
        <f>SUM(P9:P57)</f>
        <v>16.7</v>
      </c>
      <c r="Q59" s="4">
        <v>0</v>
      </c>
      <c r="S59" s="76"/>
    </row>
    <row r="60" spans="1:19" ht="19.5" customHeight="1">
      <c r="A60" s="171"/>
      <c r="B60" s="88"/>
      <c r="C60" s="92"/>
      <c r="D60" s="86"/>
      <c r="E60" s="57"/>
      <c r="F60" s="86"/>
      <c r="G60" s="90"/>
      <c r="H60" s="91"/>
      <c r="I60" s="92"/>
      <c r="J60" s="92"/>
      <c r="K60" s="93"/>
      <c r="L60" s="26"/>
      <c r="M60" s="27"/>
      <c r="N60" s="26"/>
      <c r="O60" s="26"/>
      <c r="P60" s="172"/>
      <c r="Q60" s="26"/>
      <c r="S60" s="76"/>
    </row>
    <row r="61" spans="1:19" ht="19.5" customHeight="1">
      <c r="A61" s="171"/>
      <c r="B61" s="88"/>
      <c r="C61" s="92"/>
      <c r="D61" s="86"/>
      <c r="E61" s="57"/>
      <c r="F61" s="86"/>
      <c r="G61" s="90"/>
      <c r="H61" s="91"/>
      <c r="I61" s="92"/>
      <c r="J61" s="92"/>
      <c r="K61" s="93"/>
      <c r="L61" s="26"/>
      <c r="M61" s="27"/>
      <c r="N61" s="26"/>
      <c r="O61" s="26"/>
      <c r="P61" s="172"/>
      <c r="Q61" s="26"/>
      <c r="S61" s="76"/>
    </row>
    <row r="62" spans="1:19" ht="19.5" customHeight="1">
      <c r="A62" s="171"/>
      <c r="B62" s="88"/>
      <c r="C62" s="92"/>
      <c r="D62" s="86"/>
      <c r="E62" s="57"/>
      <c r="F62" s="86"/>
      <c r="G62" s="90"/>
      <c r="H62" s="91"/>
      <c r="I62" s="92"/>
      <c r="J62" s="92"/>
      <c r="K62" s="93"/>
      <c r="L62" s="26"/>
      <c r="M62" s="27"/>
      <c r="N62" s="26"/>
      <c r="O62" s="26"/>
      <c r="P62" s="172"/>
      <c r="Q62" s="26"/>
      <c r="S62" s="76"/>
    </row>
    <row r="63" spans="1:19" ht="19.5" customHeight="1">
      <c r="A63" s="171"/>
      <c r="B63" s="88"/>
      <c r="C63" s="92"/>
      <c r="D63" s="86"/>
      <c r="E63" s="57"/>
      <c r="F63" s="86"/>
      <c r="G63" s="90"/>
      <c r="H63" s="91"/>
      <c r="I63" s="92"/>
      <c r="J63" s="92"/>
      <c r="K63" s="93"/>
      <c r="L63" s="26"/>
      <c r="M63" s="27"/>
      <c r="N63" s="26"/>
      <c r="O63" s="26"/>
      <c r="P63" s="172"/>
      <c r="Q63" s="26"/>
      <c r="S63" s="76"/>
    </row>
    <row r="64" spans="1:19" ht="24.75" customHeight="1">
      <c r="A64" s="171"/>
      <c r="B64" s="88"/>
      <c r="C64" s="92"/>
      <c r="D64" s="86"/>
      <c r="E64" s="57"/>
      <c r="F64" s="86"/>
      <c r="G64" s="90"/>
      <c r="H64" s="91"/>
      <c r="I64" s="92"/>
      <c r="J64" s="92"/>
      <c r="K64" s="93"/>
      <c r="L64" s="26"/>
      <c r="M64" s="27"/>
      <c r="N64" s="26"/>
      <c r="O64" s="26"/>
      <c r="P64" s="172"/>
      <c r="Q64" s="26"/>
      <c r="S64" s="76"/>
    </row>
    <row r="65" spans="1:17" ht="16.5" customHeight="1">
      <c r="A65" s="171"/>
      <c r="B65" s="175"/>
      <c r="C65" s="191"/>
      <c r="D65" s="176"/>
      <c r="E65" s="176"/>
      <c r="F65" s="189" t="s">
        <v>241</v>
      </c>
      <c r="G65" s="177"/>
      <c r="H65" s="192"/>
      <c r="I65" s="191"/>
      <c r="J65" s="193"/>
      <c r="K65" s="194"/>
      <c r="L65" s="27"/>
      <c r="M65" s="27"/>
      <c r="N65" s="27"/>
      <c r="O65" s="27"/>
      <c r="P65" s="27"/>
      <c r="Q65" s="27"/>
    </row>
    <row r="66" spans="1:19" ht="19.5" customHeight="1">
      <c r="A66" s="171"/>
      <c r="B66" s="88"/>
      <c r="C66" s="92"/>
      <c r="D66" s="86"/>
      <c r="E66" s="57"/>
      <c r="F66" s="86"/>
      <c r="G66" s="90"/>
      <c r="H66" s="91"/>
      <c r="I66" s="92"/>
      <c r="J66" s="92"/>
      <c r="K66" s="93"/>
      <c r="L66" s="26"/>
      <c r="M66" s="27"/>
      <c r="N66" s="26"/>
      <c r="O66" s="26"/>
      <c r="P66" s="172"/>
      <c r="Q66" s="26"/>
      <c r="S66" s="76"/>
    </row>
    <row r="67" spans="1:17" ht="24" customHeight="1">
      <c r="A67" s="318" t="s">
        <v>129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</row>
    <row r="68" spans="1:17" ht="19.5" customHeight="1">
      <c r="A68" s="298" t="s">
        <v>59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300"/>
    </row>
    <row r="69" spans="1:19" ht="31.5">
      <c r="A69" s="75" t="s">
        <v>165</v>
      </c>
      <c r="B69" s="17" t="s">
        <v>248</v>
      </c>
      <c r="C69" s="2"/>
      <c r="D69" s="2"/>
      <c r="E69" s="61"/>
      <c r="F69" s="61">
        <f>Список!W75</f>
        <v>326230.92</v>
      </c>
      <c r="G69" s="33" t="s">
        <v>10</v>
      </c>
      <c r="H69" s="32">
        <f>63*0.89</f>
        <v>56.07</v>
      </c>
      <c r="I69" s="2" t="e">
        <f>#REF!*20/100</f>
        <v>#REF!</v>
      </c>
      <c r="J69" s="67">
        <f>D69*1/100</f>
        <v>0</v>
      </c>
      <c r="K69" s="3" t="s">
        <v>87</v>
      </c>
      <c r="L69" s="1">
        <v>1</v>
      </c>
      <c r="M69" s="1" t="s">
        <v>5</v>
      </c>
      <c r="N69" s="1" t="s">
        <v>5</v>
      </c>
      <c r="O69" s="1" t="s">
        <v>5</v>
      </c>
      <c r="P69" s="1" t="s">
        <v>5</v>
      </c>
      <c r="Q69" s="1" t="s">
        <v>5</v>
      </c>
      <c r="S69" s="76"/>
    </row>
    <row r="70" spans="1:17" ht="31.5">
      <c r="A70" s="3" t="s">
        <v>179</v>
      </c>
      <c r="B70" s="16" t="s">
        <v>249</v>
      </c>
      <c r="C70" s="2">
        <f>702602</f>
        <v>702602</v>
      </c>
      <c r="D70" s="2">
        <f>C70*N70</f>
        <v>351301</v>
      </c>
      <c r="E70" s="61"/>
      <c r="F70" s="61">
        <f>Список!W76</f>
        <v>378122.83</v>
      </c>
      <c r="G70" s="30"/>
      <c r="H70" s="34"/>
      <c r="I70" s="2"/>
      <c r="J70" s="67">
        <f aca="true" t="shared" si="0" ref="J70:J81">D70*3/100</f>
        <v>10539.03</v>
      </c>
      <c r="K70" s="3" t="s">
        <v>16</v>
      </c>
      <c r="L70" s="1" t="s">
        <v>5</v>
      </c>
      <c r="M70" s="1" t="s">
        <v>5</v>
      </c>
      <c r="N70" s="1">
        <v>0.5</v>
      </c>
      <c r="O70" s="1" t="s">
        <v>5</v>
      </c>
      <c r="P70" s="1" t="s">
        <v>5</v>
      </c>
      <c r="Q70" s="1" t="s">
        <v>5</v>
      </c>
    </row>
    <row r="71" spans="1:17" ht="31.5">
      <c r="A71" s="3" t="s">
        <v>166</v>
      </c>
      <c r="B71" s="16" t="s">
        <v>84</v>
      </c>
      <c r="C71" s="2">
        <v>784377</v>
      </c>
      <c r="D71" s="2">
        <f>C71*Q71</f>
        <v>203938.02000000002</v>
      </c>
      <c r="E71" s="61"/>
      <c r="F71" s="61">
        <f>Список!W77</f>
        <v>219508.68680000002</v>
      </c>
      <c r="G71" s="33" t="s">
        <v>10</v>
      </c>
      <c r="H71" s="36">
        <v>15</v>
      </c>
      <c r="I71" s="2"/>
      <c r="J71" s="67">
        <f t="shared" si="0"/>
        <v>6118.140600000001</v>
      </c>
      <c r="K71" s="3" t="s">
        <v>85</v>
      </c>
      <c r="L71" s="1" t="s">
        <v>5</v>
      </c>
      <c r="M71" s="1" t="s">
        <v>5</v>
      </c>
      <c r="N71" s="1" t="s">
        <v>5</v>
      </c>
      <c r="O71" s="1" t="s">
        <v>5</v>
      </c>
      <c r="P71" s="1" t="s">
        <v>5</v>
      </c>
      <c r="Q71" s="1">
        <v>0.26</v>
      </c>
    </row>
    <row r="72" spans="1:17" ht="31.5">
      <c r="A72" s="3" t="s">
        <v>167</v>
      </c>
      <c r="B72" s="16" t="s">
        <v>83</v>
      </c>
      <c r="C72" s="2">
        <f>546266</f>
        <v>546266</v>
      </c>
      <c r="D72" s="2">
        <f>C72*P72</f>
        <v>273133</v>
      </c>
      <c r="E72" s="61"/>
      <c r="F72" s="61">
        <f>Список!W78</f>
        <v>293986.705</v>
      </c>
      <c r="G72" s="33" t="s">
        <v>10</v>
      </c>
      <c r="H72" s="36">
        <v>15</v>
      </c>
      <c r="I72" s="2"/>
      <c r="J72" s="67">
        <f t="shared" si="0"/>
        <v>8193.99</v>
      </c>
      <c r="K72" s="3" t="s">
        <v>86</v>
      </c>
      <c r="L72" s="1" t="s">
        <v>5</v>
      </c>
      <c r="M72" s="1" t="s">
        <v>5</v>
      </c>
      <c r="N72" s="1" t="s">
        <v>5</v>
      </c>
      <c r="O72" s="1" t="s">
        <v>5</v>
      </c>
      <c r="P72" s="1">
        <v>0.5</v>
      </c>
      <c r="Q72" s="1" t="s">
        <v>5</v>
      </c>
    </row>
    <row r="73" spans="1:17" ht="47.25">
      <c r="A73" s="3" t="s">
        <v>168</v>
      </c>
      <c r="B73" s="16" t="s">
        <v>250</v>
      </c>
      <c r="C73" s="2">
        <v>777465</v>
      </c>
      <c r="D73" s="2">
        <f aca="true" t="shared" si="1" ref="D73:D81">C73*P73</f>
        <v>124394.40000000001</v>
      </c>
      <c r="E73" s="61"/>
      <c r="F73" s="61">
        <f>Список!X79</f>
        <v>135047.18150930942</v>
      </c>
      <c r="G73" s="33" t="s">
        <v>10</v>
      </c>
      <c r="H73" s="36">
        <v>15</v>
      </c>
      <c r="I73" s="2"/>
      <c r="J73" s="67">
        <f t="shared" si="0"/>
        <v>3731.8320000000003</v>
      </c>
      <c r="K73" s="3" t="s">
        <v>88</v>
      </c>
      <c r="L73" s="1" t="s">
        <v>5</v>
      </c>
      <c r="M73" s="1" t="s">
        <v>5</v>
      </c>
      <c r="N73" s="1" t="s">
        <v>5</v>
      </c>
      <c r="O73" s="1" t="s">
        <v>5</v>
      </c>
      <c r="P73" s="1">
        <v>0.16</v>
      </c>
      <c r="Q73" s="1" t="s">
        <v>5</v>
      </c>
    </row>
    <row r="74" spans="1:17" ht="47.25">
      <c r="A74" s="3" t="s">
        <v>169</v>
      </c>
      <c r="B74" s="16" t="s">
        <v>251</v>
      </c>
      <c r="C74" s="2">
        <v>777465</v>
      </c>
      <c r="D74" s="2">
        <f t="shared" si="1"/>
        <v>93295.8</v>
      </c>
      <c r="E74" s="61"/>
      <c r="F74" s="61">
        <f>Список!X80</f>
        <v>101285.38613198207</v>
      </c>
      <c r="G74" s="33" t="s">
        <v>10</v>
      </c>
      <c r="H74" s="36">
        <v>15</v>
      </c>
      <c r="I74" s="2"/>
      <c r="J74" s="67">
        <f t="shared" si="0"/>
        <v>2798.8740000000003</v>
      </c>
      <c r="K74" s="3" t="s">
        <v>88</v>
      </c>
      <c r="L74" s="1" t="s">
        <v>5</v>
      </c>
      <c r="M74" s="1" t="s">
        <v>5</v>
      </c>
      <c r="N74" s="1" t="s">
        <v>5</v>
      </c>
      <c r="O74" s="1" t="s">
        <v>5</v>
      </c>
      <c r="P74" s="1">
        <v>0.12</v>
      </c>
      <c r="Q74" s="1" t="s">
        <v>5</v>
      </c>
    </row>
    <row r="75" spans="1:17" ht="56.25" customHeight="1">
      <c r="A75" s="3" t="s">
        <v>170</v>
      </c>
      <c r="B75" s="16" t="s">
        <v>252</v>
      </c>
      <c r="C75" s="2">
        <v>777465</v>
      </c>
      <c r="D75" s="2">
        <f t="shared" si="1"/>
        <v>62197.200000000004</v>
      </c>
      <c r="E75" s="61"/>
      <c r="F75" s="61">
        <f>Список!X81</f>
        <v>67523.59075465471</v>
      </c>
      <c r="G75" s="33" t="s">
        <v>10</v>
      </c>
      <c r="H75" s="36">
        <v>15</v>
      </c>
      <c r="I75" s="2"/>
      <c r="J75" s="67">
        <f t="shared" si="0"/>
        <v>1865.9160000000002</v>
      </c>
      <c r="K75" s="3" t="s">
        <v>88</v>
      </c>
      <c r="L75" s="1" t="s">
        <v>5</v>
      </c>
      <c r="M75" s="1" t="s">
        <v>5</v>
      </c>
      <c r="N75" s="1" t="s">
        <v>5</v>
      </c>
      <c r="O75" s="1" t="s">
        <v>5</v>
      </c>
      <c r="P75" s="1">
        <v>0.08</v>
      </c>
      <c r="Q75" s="1" t="s">
        <v>5</v>
      </c>
    </row>
    <row r="76" spans="1:17" ht="54" customHeight="1">
      <c r="A76" s="3" t="s">
        <v>171</v>
      </c>
      <c r="B76" s="16" t="s">
        <v>253</v>
      </c>
      <c r="C76" s="2">
        <v>777465</v>
      </c>
      <c r="D76" s="2">
        <f t="shared" si="1"/>
        <v>62197.200000000004</v>
      </c>
      <c r="E76" s="61"/>
      <c r="F76" s="61">
        <f>Список!Y87</f>
        <v>70875.40678534504</v>
      </c>
      <c r="G76" s="33" t="s">
        <v>10</v>
      </c>
      <c r="H76" s="36">
        <v>15</v>
      </c>
      <c r="I76" s="2"/>
      <c r="J76" s="67">
        <f t="shared" si="0"/>
        <v>1865.9160000000002</v>
      </c>
      <c r="K76" s="3" t="s">
        <v>88</v>
      </c>
      <c r="L76" s="1" t="s">
        <v>5</v>
      </c>
      <c r="M76" s="1" t="s">
        <v>5</v>
      </c>
      <c r="N76" s="1" t="s">
        <v>5</v>
      </c>
      <c r="O76" s="1" t="s">
        <v>5</v>
      </c>
      <c r="P76" s="1">
        <v>0.08</v>
      </c>
      <c r="Q76" s="1" t="s">
        <v>5</v>
      </c>
    </row>
    <row r="77" spans="1:17" ht="18.75">
      <c r="A77" s="171"/>
      <c r="B77" s="175"/>
      <c r="C77" s="191"/>
      <c r="D77" s="176"/>
      <c r="E77" s="176"/>
      <c r="F77" s="189"/>
      <c r="G77" s="177"/>
      <c r="H77" s="192"/>
      <c r="I77" s="191"/>
      <c r="J77" s="193"/>
      <c r="K77" s="194"/>
      <c r="L77" s="27"/>
      <c r="M77" s="27"/>
      <c r="N77" s="27"/>
      <c r="O77" s="27"/>
      <c r="P77" s="27"/>
      <c r="Q77" s="27"/>
    </row>
    <row r="78" spans="1:17" ht="18.75">
      <c r="A78" s="171"/>
      <c r="B78" s="175"/>
      <c r="C78" s="191"/>
      <c r="D78" s="176"/>
      <c r="E78" s="176"/>
      <c r="F78" s="189" t="s">
        <v>242</v>
      </c>
      <c r="G78" s="177"/>
      <c r="H78" s="192"/>
      <c r="I78" s="191"/>
      <c r="J78" s="193"/>
      <c r="K78" s="194"/>
      <c r="L78" s="27"/>
      <c r="M78" s="27"/>
      <c r="N78" s="27"/>
      <c r="O78" s="27"/>
      <c r="P78" s="27"/>
      <c r="Q78" s="27"/>
    </row>
    <row r="79" spans="1:17" ht="15.75">
      <c r="A79" s="171"/>
      <c r="B79" s="195"/>
      <c r="C79" s="176"/>
      <c r="D79" s="176"/>
      <c r="E79" s="176"/>
      <c r="F79" s="176"/>
      <c r="G79" s="196"/>
      <c r="H79" s="197"/>
      <c r="I79" s="176"/>
      <c r="J79" s="193"/>
      <c r="K79" s="171"/>
      <c r="L79" s="27"/>
      <c r="M79" s="27"/>
      <c r="N79" s="27"/>
      <c r="O79" s="27"/>
      <c r="P79" s="27"/>
      <c r="Q79" s="27"/>
    </row>
    <row r="80" spans="1:17" ht="47.25">
      <c r="A80" s="3" t="s">
        <v>172</v>
      </c>
      <c r="B80" s="16" t="s">
        <v>254</v>
      </c>
      <c r="C80" s="2">
        <v>777465</v>
      </c>
      <c r="D80" s="2">
        <f t="shared" si="1"/>
        <v>124394.40000000001</v>
      </c>
      <c r="E80" s="61"/>
      <c r="F80" s="61">
        <f>Список!Y88</f>
        <v>141750.81357069008</v>
      </c>
      <c r="G80" s="33" t="s">
        <v>10</v>
      </c>
      <c r="H80" s="36">
        <v>15</v>
      </c>
      <c r="I80" s="2"/>
      <c r="J80" s="67">
        <f t="shared" si="0"/>
        <v>3731.8320000000003</v>
      </c>
      <c r="K80" s="3" t="s">
        <v>88</v>
      </c>
      <c r="L80" s="1" t="s">
        <v>5</v>
      </c>
      <c r="M80" s="1" t="s">
        <v>5</v>
      </c>
      <c r="N80" s="1" t="s">
        <v>5</v>
      </c>
      <c r="O80" s="1" t="s">
        <v>5</v>
      </c>
      <c r="P80" s="1">
        <v>0.16</v>
      </c>
      <c r="Q80" s="1" t="s">
        <v>5</v>
      </c>
    </row>
    <row r="81" spans="1:17" ht="31.5">
      <c r="A81" s="3" t="s">
        <v>173</v>
      </c>
      <c r="B81" s="12" t="s">
        <v>72</v>
      </c>
      <c r="C81" s="2">
        <v>777465</v>
      </c>
      <c r="D81" s="2">
        <f t="shared" si="1"/>
        <v>31098.600000000002</v>
      </c>
      <c r="E81" s="61"/>
      <c r="F81" s="61">
        <f>Список!Y89</f>
        <v>35437.70339267252</v>
      </c>
      <c r="G81" s="33" t="s">
        <v>10</v>
      </c>
      <c r="H81" s="36">
        <v>15</v>
      </c>
      <c r="I81" s="2"/>
      <c r="J81" s="67">
        <f t="shared" si="0"/>
        <v>932.9580000000001</v>
      </c>
      <c r="K81" s="3" t="s">
        <v>88</v>
      </c>
      <c r="L81" s="1" t="s">
        <v>5</v>
      </c>
      <c r="M81" s="1" t="s">
        <v>5</v>
      </c>
      <c r="N81" s="1" t="s">
        <v>5</v>
      </c>
      <c r="O81" s="1" t="s">
        <v>5</v>
      </c>
      <c r="P81" s="1">
        <v>0.04</v>
      </c>
      <c r="Q81" s="1" t="s">
        <v>5</v>
      </c>
    </row>
    <row r="82" spans="1:17" ht="19.5" customHeight="1">
      <c r="A82" s="298" t="s">
        <v>77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300"/>
    </row>
    <row r="83" spans="1:17" ht="31.5">
      <c r="A83" s="73" t="s">
        <v>174</v>
      </c>
      <c r="B83" s="13" t="s">
        <v>62</v>
      </c>
      <c r="C83" s="2"/>
      <c r="D83" s="2"/>
      <c r="E83" s="61"/>
      <c r="F83" s="61">
        <f>Список!W91</f>
        <v>751360.15</v>
      </c>
      <c r="G83" s="18" t="s">
        <v>10</v>
      </c>
      <c r="H83" s="32">
        <f>2*100*0.89</f>
        <v>178</v>
      </c>
      <c r="I83" s="2">
        <v>160400</v>
      </c>
      <c r="J83" s="67">
        <f>D83*1/100</f>
        <v>0</v>
      </c>
      <c r="K83" s="8" t="s">
        <v>81</v>
      </c>
      <c r="L83" s="1">
        <v>1</v>
      </c>
      <c r="M83" s="1" t="s">
        <v>5</v>
      </c>
      <c r="N83" s="1" t="s">
        <v>5</v>
      </c>
      <c r="O83" s="1" t="s">
        <v>5</v>
      </c>
      <c r="P83" s="1" t="s">
        <v>5</v>
      </c>
      <c r="Q83" s="1" t="s">
        <v>5</v>
      </c>
    </row>
    <row r="84" spans="1:17" ht="41.25" customHeight="1">
      <c r="A84" s="3" t="s">
        <v>175</v>
      </c>
      <c r="B84" s="12" t="s">
        <v>255</v>
      </c>
      <c r="C84" s="2">
        <f>945096</f>
        <v>945096</v>
      </c>
      <c r="D84" s="2">
        <f>C84*O84</f>
        <v>817508.04</v>
      </c>
      <c r="E84" s="61"/>
      <c r="F84" s="61">
        <f>Список!W92</f>
        <v>879924.7792</v>
      </c>
      <c r="G84" s="18"/>
      <c r="H84" s="28"/>
      <c r="I84" s="2"/>
      <c r="J84" s="67">
        <f>D84*3/100</f>
        <v>24525.2412</v>
      </c>
      <c r="K84" s="8" t="s">
        <v>17</v>
      </c>
      <c r="L84" s="1" t="s">
        <v>5</v>
      </c>
      <c r="M84" s="1" t="s">
        <v>5</v>
      </c>
      <c r="N84" s="1" t="s">
        <v>5</v>
      </c>
      <c r="O84" s="1">
        <f>0.3+0.565</f>
        <v>0.865</v>
      </c>
      <c r="P84" s="1" t="s">
        <v>5</v>
      </c>
      <c r="Q84" s="1" t="s">
        <v>5</v>
      </c>
    </row>
    <row r="85" spans="1:17" s="50" customFormat="1" ht="31.5" hidden="1">
      <c r="A85" s="204" t="s">
        <v>176</v>
      </c>
      <c r="B85" s="205" t="s">
        <v>48</v>
      </c>
      <c r="C85" s="68">
        <f>945096</f>
        <v>945096</v>
      </c>
      <c r="D85" s="68">
        <f>C85*O85</f>
        <v>0</v>
      </c>
      <c r="E85" s="206"/>
      <c r="F85" s="206">
        <f>Список!W93</f>
        <v>0</v>
      </c>
      <c r="G85" s="207"/>
      <c r="H85" s="208"/>
      <c r="I85" s="68"/>
      <c r="J85" s="67">
        <f>D85*3/100</f>
        <v>0</v>
      </c>
      <c r="K85" s="209" t="s">
        <v>17</v>
      </c>
      <c r="L85" s="210" t="s">
        <v>5</v>
      </c>
      <c r="M85" s="210" t="s">
        <v>5</v>
      </c>
      <c r="N85" s="210" t="s">
        <v>5</v>
      </c>
      <c r="O85" s="210"/>
      <c r="P85" s="210" t="s">
        <v>5</v>
      </c>
      <c r="Q85" s="210" t="s">
        <v>5</v>
      </c>
    </row>
    <row r="86" spans="1:17" ht="31.5">
      <c r="A86" s="73" t="s">
        <v>177</v>
      </c>
      <c r="B86" s="13" t="s">
        <v>256</v>
      </c>
      <c r="C86" s="2">
        <f>389846</f>
        <v>389846</v>
      </c>
      <c r="D86" s="2">
        <f>C86*L86</f>
        <v>389846</v>
      </c>
      <c r="E86" s="61"/>
      <c r="F86" s="61">
        <f>Список!W94</f>
        <v>419610.74</v>
      </c>
      <c r="G86" s="18" t="s">
        <v>10</v>
      </c>
      <c r="H86" s="32">
        <f>100*0.89</f>
        <v>89</v>
      </c>
      <c r="I86" s="68">
        <v>80200</v>
      </c>
      <c r="J86" s="67">
        <f>D86*1/100</f>
        <v>3898.46</v>
      </c>
      <c r="K86" s="8" t="s">
        <v>18</v>
      </c>
      <c r="L86" s="1">
        <v>1</v>
      </c>
      <c r="M86" s="1" t="s">
        <v>5</v>
      </c>
      <c r="N86" s="1" t="s">
        <v>5</v>
      </c>
      <c r="O86" s="1" t="s">
        <v>5</v>
      </c>
      <c r="P86" s="1" t="s">
        <v>5</v>
      </c>
      <c r="Q86" s="1" t="s">
        <v>5</v>
      </c>
    </row>
    <row r="87" spans="1:17" ht="31.5">
      <c r="A87" s="3" t="s">
        <v>180</v>
      </c>
      <c r="B87" s="12" t="s">
        <v>259</v>
      </c>
      <c r="C87" s="2">
        <f>945096</f>
        <v>945096</v>
      </c>
      <c r="D87" s="2">
        <f>C87*O87</f>
        <v>614312.4</v>
      </c>
      <c r="E87" s="61"/>
      <c r="F87" s="61">
        <f>Список!W95</f>
        <v>661215.152</v>
      </c>
      <c r="G87" s="18"/>
      <c r="H87" s="28"/>
      <c r="I87" s="2"/>
      <c r="J87" s="67">
        <f>D87*3/100</f>
        <v>18429.372000000003</v>
      </c>
      <c r="K87" s="8" t="s">
        <v>17</v>
      </c>
      <c r="L87" s="1" t="s">
        <v>5</v>
      </c>
      <c r="M87" s="1" t="s">
        <v>5</v>
      </c>
      <c r="N87" s="1" t="s">
        <v>5</v>
      </c>
      <c r="O87" s="1">
        <v>0.65</v>
      </c>
      <c r="P87" s="1" t="s">
        <v>5</v>
      </c>
      <c r="Q87" s="1" t="s">
        <v>5</v>
      </c>
    </row>
    <row r="88" spans="1:17" ht="31.5">
      <c r="A88" s="73" t="s">
        <v>178</v>
      </c>
      <c r="B88" s="13" t="s">
        <v>257</v>
      </c>
      <c r="C88" s="2">
        <f>423808</f>
        <v>423808</v>
      </c>
      <c r="D88" s="2">
        <f>C88*L88</f>
        <v>423808</v>
      </c>
      <c r="E88" s="61"/>
      <c r="F88" s="61">
        <f>Список!X96</f>
        <v>484478.786885632</v>
      </c>
      <c r="G88" s="18" t="s">
        <v>10</v>
      </c>
      <c r="H88" s="28">
        <f>160*0.89</f>
        <v>142.4</v>
      </c>
      <c r="I88" s="68">
        <v>83125</v>
      </c>
      <c r="J88" s="68" t="e">
        <f>(#REF!-I88)*1/100</f>
        <v>#REF!</v>
      </c>
      <c r="K88" s="8" t="s">
        <v>15</v>
      </c>
      <c r="L88" s="1">
        <v>1</v>
      </c>
      <c r="M88" s="1" t="s">
        <v>5</v>
      </c>
      <c r="N88" s="1" t="s">
        <v>5</v>
      </c>
      <c r="O88" s="1" t="s">
        <v>5</v>
      </c>
      <c r="P88" s="1" t="s">
        <v>5</v>
      </c>
      <c r="Q88" s="1" t="s">
        <v>5</v>
      </c>
    </row>
    <row r="89" spans="1:17" ht="25.5" customHeight="1">
      <c r="A89" s="3" t="s">
        <v>181</v>
      </c>
      <c r="B89" s="12" t="s">
        <v>260</v>
      </c>
      <c r="C89" s="2">
        <f>702602</f>
        <v>702602</v>
      </c>
      <c r="D89" s="2">
        <f>C89*N89</f>
        <v>421561.2</v>
      </c>
      <c r="E89" s="61"/>
      <c r="F89" s="61">
        <f>Список!X97</f>
        <v>481910.3433018048</v>
      </c>
      <c r="G89" s="18"/>
      <c r="H89" s="28"/>
      <c r="I89" s="2"/>
      <c r="J89" s="67">
        <f>D89*3/100</f>
        <v>12646.836000000001</v>
      </c>
      <c r="K89" s="8" t="s">
        <v>16</v>
      </c>
      <c r="L89" s="1" t="s">
        <v>5</v>
      </c>
      <c r="M89" s="1" t="s">
        <v>5</v>
      </c>
      <c r="N89" s="1">
        <v>0.6</v>
      </c>
      <c r="O89" s="1" t="s">
        <v>5</v>
      </c>
      <c r="P89" s="1" t="s">
        <v>5</v>
      </c>
      <c r="Q89" s="1" t="s">
        <v>5</v>
      </c>
    </row>
    <row r="90" spans="1:17" s="50" customFormat="1" ht="31.5">
      <c r="A90" s="74" t="s">
        <v>182</v>
      </c>
      <c r="B90" s="13" t="s">
        <v>261</v>
      </c>
      <c r="C90" s="2">
        <f>933123</f>
        <v>933123</v>
      </c>
      <c r="D90" s="2">
        <f>C90*L90</f>
        <v>933123</v>
      </c>
      <c r="E90" s="61"/>
      <c r="F90" s="61">
        <f>Список!X98</f>
        <v>1066705.439857392</v>
      </c>
      <c r="G90" s="18" t="s">
        <v>10</v>
      </c>
      <c r="H90" s="32">
        <f>2*250*0.89</f>
        <v>445</v>
      </c>
      <c r="I90" s="68">
        <f>235470</f>
        <v>235470</v>
      </c>
      <c r="J90" s="68" t="e">
        <f>(#REF!-I90)*1/100</f>
        <v>#REF!</v>
      </c>
      <c r="K90" s="8" t="s">
        <v>76</v>
      </c>
      <c r="L90" s="1">
        <v>1</v>
      </c>
      <c r="M90" s="1" t="s">
        <v>5</v>
      </c>
      <c r="N90" s="1" t="s">
        <v>5</v>
      </c>
      <c r="O90" s="1" t="s">
        <v>5</v>
      </c>
      <c r="P90" s="1" t="s">
        <v>5</v>
      </c>
      <c r="Q90" s="1" t="s">
        <v>5</v>
      </c>
    </row>
    <row r="91" spans="1:17" ht="31.5">
      <c r="A91" s="3" t="s">
        <v>183</v>
      </c>
      <c r="B91" s="12" t="s">
        <v>262</v>
      </c>
      <c r="C91" s="2">
        <f>945096</f>
        <v>945096</v>
      </c>
      <c r="D91" s="2">
        <f>C91*O91</f>
        <v>359136.48</v>
      </c>
      <c r="E91" s="61"/>
      <c r="F91" s="61">
        <f>Список!X99</f>
        <v>410549.1311083699</v>
      </c>
      <c r="G91" s="18"/>
      <c r="H91" s="28"/>
      <c r="I91" s="2"/>
      <c r="J91" s="67">
        <f>D91*3/100</f>
        <v>10774.0944</v>
      </c>
      <c r="K91" s="8" t="s">
        <v>17</v>
      </c>
      <c r="L91" s="1" t="s">
        <v>5</v>
      </c>
      <c r="M91" s="1" t="s">
        <v>5</v>
      </c>
      <c r="N91" s="1" t="s">
        <v>5</v>
      </c>
      <c r="O91" s="1">
        <f>0.23+0.15</f>
        <v>0.38</v>
      </c>
      <c r="P91" s="1" t="s">
        <v>5</v>
      </c>
      <c r="Q91" s="1" t="s">
        <v>5</v>
      </c>
    </row>
    <row r="92" spans="1:17" s="50" customFormat="1" ht="31.5" hidden="1">
      <c r="A92" s="204" t="s">
        <v>184</v>
      </c>
      <c r="B92" s="205" t="s">
        <v>52</v>
      </c>
      <c r="C92" s="68">
        <f>945096</f>
        <v>945096</v>
      </c>
      <c r="D92" s="68">
        <f>C92*O92</f>
        <v>0</v>
      </c>
      <c r="E92" s="206"/>
      <c r="F92" s="206">
        <f>Список!X100</f>
        <v>0</v>
      </c>
      <c r="G92" s="207"/>
      <c r="H92" s="208"/>
      <c r="I92" s="68"/>
      <c r="J92" s="67">
        <f>D92*3/100</f>
        <v>0</v>
      </c>
      <c r="K92" s="209" t="s">
        <v>17</v>
      </c>
      <c r="L92" s="210" t="s">
        <v>5</v>
      </c>
      <c r="M92" s="210" t="s">
        <v>5</v>
      </c>
      <c r="N92" s="210" t="s">
        <v>5</v>
      </c>
      <c r="O92" s="210"/>
      <c r="P92" s="210" t="s">
        <v>5</v>
      </c>
      <c r="Q92" s="210" t="s">
        <v>5</v>
      </c>
    </row>
    <row r="93" spans="1:17" ht="31.5">
      <c r="A93" s="73" t="s">
        <v>185</v>
      </c>
      <c r="B93" s="13" t="s">
        <v>257</v>
      </c>
      <c r="C93" s="2">
        <f>423808</f>
        <v>423808</v>
      </c>
      <c r="D93" s="2">
        <f>C93*L93</f>
        <v>423808</v>
      </c>
      <c r="E93" s="61"/>
      <c r="F93" s="61">
        <f>Список!Y101</f>
        <v>508527.91914095</v>
      </c>
      <c r="G93" s="18" t="s">
        <v>10</v>
      </c>
      <c r="H93" s="28">
        <f>160*0.89</f>
        <v>142.4</v>
      </c>
      <c r="I93" s="68">
        <v>83125</v>
      </c>
      <c r="J93" s="68" t="e">
        <f>(#REF!-I93)*1/100</f>
        <v>#REF!</v>
      </c>
      <c r="K93" s="8" t="s">
        <v>15</v>
      </c>
      <c r="L93" s="1">
        <v>1</v>
      </c>
      <c r="M93" s="1" t="s">
        <v>5</v>
      </c>
      <c r="N93" s="1" t="s">
        <v>5</v>
      </c>
      <c r="O93" s="1" t="s">
        <v>5</v>
      </c>
      <c r="P93" s="1" t="s">
        <v>5</v>
      </c>
      <c r="Q93" s="1" t="s">
        <v>5</v>
      </c>
    </row>
    <row r="94" spans="1:17" ht="36.75" customHeight="1">
      <c r="A94" s="3" t="s">
        <v>186</v>
      </c>
      <c r="B94" s="12" t="s">
        <v>263</v>
      </c>
      <c r="C94" s="2">
        <f>945096</f>
        <v>945096</v>
      </c>
      <c r="D94" s="2">
        <f>C94*O94</f>
        <v>132313.44</v>
      </c>
      <c r="E94" s="61"/>
      <c r="F94" s="61">
        <f>Список!O102</f>
        <v>1134022.251275189</v>
      </c>
      <c r="G94" s="18"/>
      <c r="H94" s="28"/>
      <c r="I94" s="2"/>
      <c r="J94" s="67">
        <f aca="true" t="shared" si="2" ref="J94:J100">D94*3/100</f>
        <v>3969.4032</v>
      </c>
      <c r="K94" s="8" t="s">
        <v>17</v>
      </c>
      <c r="L94" s="1" t="s">
        <v>5</v>
      </c>
      <c r="M94" s="1" t="s">
        <v>5</v>
      </c>
      <c r="N94" s="1" t="s">
        <v>5</v>
      </c>
      <c r="O94" s="1">
        <v>0.14</v>
      </c>
      <c r="P94" s="1" t="s">
        <v>5</v>
      </c>
      <c r="Q94" s="1" t="s">
        <v>5</v>
      </c>
    </row>
    <row r="95" spans="1:17" ht="31.5">
      <c r="A95" s="3" t="s">
        <v>187</v>
      </c>
      <c r="B95" s="12" t="s">
        <v>53</v>
      </c>
      <c r="C95" s="2">
        <v>784377</v>
      </c>
      <c r="D95" s="2">
        <f>C95*Q95</f>
        <v>117656.55</v>
      </c>
      <c r="E95" s="61"/>
      <c r="F95" s="61">
        <f>Список!Y108</f>
        <v>141176.28866091048</v>
      </c>
      <c r="G95" s="18" t="s">
        <v>10</v>
      </c>
      <c r="H95" s="28">
        <v>95</v>
      </c>
      <c r="I95" s="2"/>
      <c r="J95" s="67">
        <f t="shared" si="2"/>
        <v>3529.6965</v>
      </c>
      <c r="K95" s="8" t="s">
        <v>19</v>
      </c>
      <c r="L95" s="1" t="s">
        <v>5</v>
      </c>
      <c r="M95" s="1" t="s">
        <v>5</v>
      </c>
      <c r="N95" s="1" t="s">
        <v>5</v>
      </c>
      <c r="O95" s="1" t="s">
        <v>5</v>
      </c>
      <c r="P95" s="1" t="s">
        <v>5</v>
      </c>
      <c r="Q95" s="1">
        <v>0.15</v>
      </c>
    </row>
    <row r="96" spans="1:17" ht="31.5">
      <c r="A96" s="3" t="s">
        <v>188</v>
      </c>
      <c r="B96" s="12" t="s">
        <v>54</v>
      </c>
      <c r="C96" s="2">
        <v>784377</v>
      </c>
      <c r="D96" s="2">
        <f>C96*Q96</f>
        <v>345125.88</v>
      </c>
      <c r="E96" s="61"/>
      <c r="F96" s="61">
        <f>Список!Y109</f>
        <v>414117.1134053374</v>
      </c>
      <c r="G96" s="18" t="s">
        <v>10</v>
      </c>
      <c r="H96" s="28">
        <v>120</v>
      </c>
      <c r="I96" s="2"/>
      <c r="J96" s="67">
        <f t="shared" si="2"/>
        <v>10353.7764</v>
      </c>
      <c r="K96" s="8" t="s">
        <v>19</v>
      </c>
      <c r="L96" s="1" t="s">
        <v>5</v>
      </c>
      <c r="M96" s="1" t="s">
        <v>5</v>
      </c>
      <c r="N96" s="1" t="s">
        <v>5</v>
      </c>
      <c r="O96" s="1" t="s">
        <v>5</v>
      </c>
      <c r="P96" s="1" t="s">
        <v>5</v>
      </c>
      <c r="Q96" s="1">
        <v>0.44</v>
      </c>
    </row>
    <row r="97" spans="1:17" ht="31.5">
      <c r="A97" s="3" t="s">
        <v>189</v>
      </c>
      <c r="B97" s="12" t="s">
        <v>55</v>
      </c>
      <c r="C97" s="2">
        <v>784377</v>
      </c>
      <c r="D97" s="2">
        <f>C97*Q97</f>
        <v>27453.195000000003</v>
      </c>
      <c r="E97" s="61"/>
      <c r="F97" s="61">
        <f>Список!Y110</f>
        <v>32941.134020879115</v>
      </c>
      <c r="G97" s="18" t="s">
        <v>10</v>
      </c>
      <c r="H97" s="28">
        <v>100</v>
      </c>
      <c r="I97" s="2"/>
      <c r="J97" s="67">
        <f t="shared" si="2"/>
        <v>823.59585</v>
      </c>
      <c r="K97" s="8" t="s">
        <v>19</v>
      </c>
      <c r="L97" s="1" t="s">
        <v>5</v>
      </c>
      <c r="M97" s="1" t="s">
        <v>5</v>
      </c>
      <c r="N97" s="1" t="s">
        <v>5</v>
      </c>
      <c r="O97" s="1" t="s">
        <v>5</v>
      </c>
      <c r="P97" s="1" t="s">
        <v>5</v>
      </c>
      <c r="Q97" s="1">
        <v>0.035</v>
      </c>
    </row>
    <row r="98" spans="1:17" ht="31.5">
      <c r="A98" s="3" t="s">
        <v>190</v>
      </c>
      <c r="B98" s="12" t="s">
        <v>56</v>
      </c>
      <c r="C98" s="2">
        <v>784377</v>
      </c>
      <c r="D98" s="2">
        <f>C98*Q98</f>
        <v>196094.25</v>
      </c>
      <c r="E98" s="61"/>
      <c r="F98" s="61">
        <f>Список!Y111</f>
        <v>235293.8144348508</v>
      </c>
      <c r="G98" s="18" t="s">
        <v>10</v>
      </c>
      <c r="H98" s="28">
        <v>100</v>
      </c>
      <c r="I98" s="2"/>
      <c r="J98" s="67">
        <f t="shared" si="2"/>
        <v>5882.8275</v>
      </c>
      <c r="K98" s="8" t="s">
        <v>19</v>
      </c>
      <c r="L98" s="1" t="s">
        <v>5</v>
      </c>
      <c r="M98" s="1" t="s">
        <v>5</v>
      </c>
      <c r="N98" s="1" t="s">
        <v>5</v>
      </c>
      <c r="O98" s="1" t="s">
        <v>5</v>
      </c>
      <c r="P98" s="1" t="s">
        <v>5</v>
      </c>
      <c r="Q98" s="1">
        <v>0.25</v>
      </c>
    </row>
    <row r="99" spans="1:17" ht="15.75">
      <c r="A99" s="3" t="s">
        <v>191</v>
      </c>
      <c r="B99" s="12" t="s">
        <v>57</v>
      </c>
      <c r="C99" s="2">
        <f>564382</f>
        <v>564382</v>
      </c>
      <c r="D99" s="2">
        <f>C99*P99</f>
        <v>98766.84999999999</v>
      </c>
      <c r="E99" s="61"/>
      <c r="F99" s="61">
        <f>Список!Y112</f>
        <v>118510.50643358866</v>
      </c>
      <c r="G99" s="18" t="s">
        <v>10</v>
      </c>
      <c r="H99" s="28">
        <v>20</v>
      </c>
      <c r="I99" s="2"/>
      <c r="J99" s="67">
        <f t="shared" si="2"/>
        <v>2963.0054999999998</v>
      </c>
      <c r="K99" s="8" t="s">
        <v>82</v>
      </c>
      <c r="L99" s="1" t="s">
        <v>5</v>
      </c>
      <c r="M99" s="1" t="s">
        <v>5</v>
      </c>
      <c r="N99" s="1" t="s">
        <v>5</v>
      </c>
      <c r="O99" s="1" t="s">
        <v>5</v>
      </c>
      <c r="P99" s="1">
        <v>0.175</v>
      </c>
      <c r="Q99" s="1" t="s">
        <v>5</v>
      </c>
    </row>
    <row r="100" spans="1:17" ht="15.75">
      <c r="A100" s="3" t="s">
        <v>192</v>
      </c>
      <c r="B100" s="12" t="s">
        <v>58</v>
      </c>
      <c r="C100" s="2">
        <f>564382</f>
        <v>564382</v>
      </c>
      <c r="D100" s="2">
        <f>C100*P100</f>
        <v>177215.948</v>
      </c>
      <c r="E100" s="61"/>
      <c r="F100" s="61">
        <f>Список!Y113</f>
        <v>212641.70868655338</v>
      </c>
      <c r="G100" s="18" t="s">
        <v>10</v>
      </c>
      <c r="H100" s="28">
        <v>25</v>
      </c>
      <c r="I100" s="2"/>
      <c r="J100" s="67">
        <f t="shared" si="2"/>
        <v>5316.478440000001</v>
      </c>
      <c r="K100" s="8" t="s">
        <v>82</v>
      </c>
      <c r="L100" s="1" t="s">
        <v>5</v>
      </c>
      <c r="M100" s="1" t="s">
        <v>5</v>
      </c>
      <c r="N100" s="1" t="s">
        <v>5</v>
      </c>
      <c r="O100" s="1" t="s">
        <v>5</v>
      </c>
      <c r="P100" s="1">
        <v>0.314</v>
      </c>
      <c r="Q100" s="1" t="s">
        <v>5</v>
      </c>
    </row>
    <row r="101" spans="1:17" ht="18.75">
      <c r="A101" s="171"/>
      <c r="B101" s="175"/>
      <c r="C101" s="191"/>
      <c r="D101" s="176"/>
      <c r="E101" s="176"/>
      <c r="F101" s="189" t="s">
        <v>243</v>
      </c>
      <c r="G101" s="177"/>
      <c r="H101" s="192"/>
      <c r="I101" s="191"/>
      <c r="J101" s="193"/>
      <c r="K101" s="194"/>
      <c r="L101" s="27"/>
      <c r="M101" s="27"/>
      <c r="N101" s="27"/>
      <c r="O101" s="27"/>
      <c r="P101" s="27"/>
      <c r="Q101" s="27"/>
    </row>
    <row r="102" spans="1:17" ht="15.75">
      <c r="A102" s="171"/>
      <c r="B102" s="195"/>
      <c r="C102" s="176"/>
      <c r="D102" s="176"/>
      <c r="E102" s="176"/>
      <c r="F102" s="176"/>
      <c r="G102" s="196"/>
      <c r="H102" s="197"/>
      <c r="I102" s="176"/>
      <c r="J102" s="193"/>
      <c r="K102" s="171"/>
      <c r="L102" s="27"/>
      <c r="M102" s="27"/>
      <c r="N102" s="27"/>
      <c r="O102" s="27"/>
      <c r="P102" s="27"/>
      <c r="Q102" s="27"/>
    </row>
    <row r="103" spans="1:17" ht="19.5" customHeight="1">
      <c r="A103" s="298" t="s">
        <v>78</v>
      </c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300"/>
    </row>
    <row r="104" spans="1:17" ht="31.5">
      <c r="A104" s="73" t="s">
        <v>193</v>
      </c>
      <c r="B104" s="15" t="s">
        <v>264</v>
      </c>
      <c r="C104" s="2">
        <f>466241</f>
        <v>466241</v>
      </c>
      <c r="D104" s="2">
        <f>C104*L104</f>
        <v>466241</v>
      </c>
      <c r="E104" s="61"/>
      <c r="F104" s="61">
        <f>Список!W115</f>
        <v>501838.5</v>
      </c>
      <c r="G104" s="18" t="s">
        <v>10</v>
      </c>
      <c r="H104" s="20">
        <f>250*0.89</f>
        <v>222.5</v>
      </c>
      <c r="I104" s="2">
        <v>136841</v>
      </c>
      <c r="J104" s="68" t="e">
        <f>(#REF!-I104)*1/100</f>
        <v>#REF!</v>
      </c>
      <c r="K104" s="8" t="s">
        <v>75</v>
      </c>
      <c r="L104" s="1">
        <v>1</v>
      </c>
      <c r="M104" s="1" t="s">
        <v>5</v>
      </c>
      <c r="N104" s="1" t="s">
        <v>5</v>
      </c>
      <c r="O104" s="1" t="s">
        <v>5</v>
      </c>
      <c r="P104" s="1" t="s">
        <v>5</v>
      </c>
      <c r="Q104" s="1" t="s">
        <v>5</v>
      </c>
    </row>
    <row r="105" spans="1:17" ht="34.5" customHeight="1">
      <c r="A105" s="3" t="s">
        <v>196</v>
      </c>
      <c r="B105" s="14" t="s">
        <v>265</v>
      </c>
      <c r="C105" s="11">
        <f>702602</f>
        <v>702602</v>
      </c>
      <c r="D105" s="2">
        <f>C105*N105</f>
        <v>140520.4</v>
      </c>
      <c r="E105" s="61"/>
      <c r="F105" s="61">
        <f>Список!W116</f>
        <v>151249.132</v>
      </c>
      <c r="G105" s="18"/>
      <c r="H105" s="31"/>
      <c r="I105" s="11"/>
      <c r="J105" s="67">
        <f>D105*3/100</f>
        <v>4215.611999999999</v>
      </c>
      <c r="K105" s="8" t="s">
        <v>16</v>
      </c>
      <c r="L105" s="1" t="s">
        <v>5</v>
      </c>
      <c r="M105" s="1" t="s">
        <v>5</v>
      </c>
      <c r="N105" s="1">
        <v>0.2</v>
      </c>
      <c r="O105" s="1" t="s">
        <v>5</v>
      </c>
      <c r="P105" s="1" t="s">
        <v>5</v>
      </c>
      <c r="Q105" s="1" t="s">
        <v>5</v>
      </c>
    </row>
    <row r="106" spans="1:17" ht="18.75">
      <c r="A106" s="171"/>
      <c r="B106" s="175"/>
      <c r="C106" s="191"/>
      <c r="D106" s="176"/>
      <c r="E106" s="176"/>
      <c r="F106" s="189" t="s">
        <v>243</v>
      </c>
      <c r="G106" s="177"/>
      <c r="H106" s="192"/>
      <c r="I106" s="191"/>
      <c r="J106" s="193"/>
      <c r="K106" s="194"/>
      <c r="L106" s="27"/>
      <c r="M106" s="27"/>
      <c r="N106" s="27"/>
      <c r="O106" s="27"/>
      <c r="P106" s="27"/>
      <c r="Q106" s="27"/>
    </row>
    <row r="107" spans="1:17" ht="18.75">
      <c r="A107" s="171"/>
      <c r="B107" s="175"/>
      <c r="C107" s="191"/>
      <c r="D107" s="176"/>
      <c r="E107" s="176"/>
      <c r="F107" s="189"/>
      <c r="G107" s="177"/>
      <c r="H107" s="192"/>
      <c r="I107" s="191"/>
      <c r="J107" s="193"/>
      <c r="K107" s="194"/>
      <c r="L107" s="27"/>
      <c r="M107" s="27"/>
      <c r="N107" s="27"/>
      <c r="O107" s="27"/>
      <c r="P107" s="27"/>
      <c r="Q107" s="27"/>
    </row>
    <row r="108" spans="1:17" s="6" customFormat="1" ht="31.5">
      <c r="A108" s="3" t="s">
        <v>217</v>
      </c>
      <c r="B108" s="14" t="s">
        <v>205</v>
      </c>
      <c r="C108" s="2">
        <v>930404</v>
      </c>
      <c r="D108" s="2">
        <f>C108*Q108</f>
        <v>186080.80000000002</v>
      </c>
      <c r="E108" s="61"/>
      <c r="F108" s="61">
        <f>Список!W117</f>
        <v>200288.07</v>
      </c>
      <c r="G108" s="18" t="s">
        <v>10</v>
      </c>
      <c r="H108" s="36">
        <v>200</v>
      </c>
      <c r="I108" s="116"/>
      <c r="J108" s="114">
        <f>D108*3/100</f>
        <v>5582.424</v>
      </c>
      <c r="K108" s="8" t="s">
        <v>216</v>
      </c>
      <c r="L108" s="1" t="s">
        <v>5</v>
      </c>
      <c r="M108" s="1" t="s">
        <v>5</v>
      </c>
      <c r="N108" s="1" t="s">
        <v>5</v>
      </c>
      <c r="O108" s="1" t="s">
        <v>5</v>
      </c>
      <c r="P108" s="1" t="s">
        <v>5</v>
      </c>
      <c r="Q108" s="1">
        <v>0.2</v>
      </c>
    </row>
    <row r="109" spans="1:17" s="6" customFormat="1" ht="31.5">
      <c r="A109" s="3" t="s">
        <v>194</v>
      </c>
      <c r="B109" s="13" t="s">
        <v>266</v>
      </c>
      <c r="C109" s="2"/>
      <c r="D109" s="2"/>
      <c r="E109" s="61"/>
      <c r="F109" s="61">
        <f>Список!X118</f>
        <v>5177082.829615649</v>
      </c>
      <c r="G109" s="18" t="s">
        <v>10</v>
      </c>
      <c r="H109" s="28">
        <f>2*630*0.89</f>
        <v>1121.4</v>
      </c>
      <c r="I109" s="2">
        <v>1816242</v>
      </c>
      <c r="J109" s="68" t="e">
        <f>(#REF!-I109)*1/100</f>
        <v>#REF!</v>
      </c>
      <c r="K109" s="8" t="s">
        <v>80</v>
      </c>
      <c r="L109" s="1">
        <v>1</v>
      </c>
      <c r="M109" s="1" t="s">
        <v>5</v>
      </c>
      <c r="N109" s="1" t="s">
        <v>5</v>
      </c>
      <c r="O109" s="1" t="s">
        <v>5</v>
      </c>
      <c r="P109" s="1" t="s">
        <v>5</v>
      </c>
      <c r="Q109" s="1" t="s">
        <v>5</v>
      </c>
    </row>
    <row r="110" spans="1:17" s="6" customFormat="1" ht="31.5">
      <c r="A110" s="3" t="s">
        <v>197</v>
      </c>
      <c r="B110" s="12" t="s">
        <v>267</v>
      </c>
      <c r="C110" s="2">
        <f>945096</f>
        <v>945096</v>
      </c>
      <c r="D110" s="2">
        <f>C110*O110</f>
        <v>1370389.2</v>
      </c>
      <c r="E110" s="61"/>
      <c r="F110" s="61">
        <f>Список!X119</f>
        <v>1566569.0529135168</v>
      </c>
      <c r="G110" s="18"/>
      <c r="H110" s="28"/>
      <c r="I110" s="2"/>
      <c r="J110" s="114">
        <f>D110*3/100</f>
        <v>41111.676</v>
      </c>
      <c r="K110" s="8" t="s">
        <v>17</v>
      </c>
      <c r="L110" s="1" t="s">
        <v>5</v>
      </c>
      <c r="M110" s="1" t="s">
        <v>5</v>
      </c>
      <c r="N110" s="1" t="s">
        <v>5</v>
      </c>
      <c r="O110" s="1">
        <f>1+0.45</f>
        <v>1.45</v>
      </c>
      <c r="P110" s="1" t="s">
        <v>5</v>
      </c>
      <c r="Q110" s="1" t="s">
        <v>5</v>
      </c>
    </row>
    <row r="111" spans="1:17" s="211" customFormat="1" ht="31.5" hidden="1">
      <c r="A111" s="204" t="s">
        <v>198</v>
      </c>
      <c r="B111" s="205" t="s">
        <v>268</v>
      </c>
      <c r="C111" s="68">
        <f>945096</f>
        <v>945096</v>
      </c>
      <c r="D111" s="68">
        <f>C111*O111</f>
        <v>0</v>
      </c>
      <c r="E111" s="206"/>
      <c r="F111" s="206">
        <f>Список!X120</f>
        <v>0</v>
      </c>
      <c r="G111" s="207"/>
      <c r="H111" s="208"/>
      <c r="I111" s="68"/>
      <c r="J111" s="114">
        <f>D111*3/100</f>
        <v>0</v>
      </c>
      <c r="K111" s="209" t="s">
        <v>17</v>
      </c>
      <c r="L111" s="210" t="s">
        <v>5</v>
      </c>
      <c r="M111" s="210" t="s">
        <v>5</v>
      </c>
      <c r="N111" s="210" t="s">
        <v>5</v>
      </c>
      <c r="O111" s="210"/>
      <c r="P111" s="210" t="s">
        <v>5</v>
      </c>
      <c r="Q111" s="210" t="s">
        <v>5</v>
      </c>
    </row>
    <row r="112" spans="1:17" s="6" customFormat="1" ht="31.5">
      <c r="A112" s="3" t="s">
        <v>219</v>
      </c>
      <c r="B112" s="12" t="s">
        <v>206</v>
      </c>
      <c r="C112" s="2">
        <v>930404</v>
      </c>
      <c r="D112" s="2">
        <f>C112*Q112</f>
        <v>279121.2</v>
      </c>
      <c r="E112" s="2"/>
      <c r="F112" s="61">
        <f>Список!X121</f>
        <v>319079.15936004475</v>
      </c>
      <c r="G112" s="18" t="s">
        <v>10</v>
      </c>
      <c r="H112" s="28">
        <v>500</v>
      </c>
      <c r="I112" s="2"/>
      <c r="J112" s="114">
        <f>D112*3/100</f>
        <v>8373.636</v>
      </c>
      <c r="K112" s="8" t="s">
        <v>216</v>
      </c>
      <c r="L112" s="1" t="s">
        <v>5</v>
      </c>
      <c r="M112" s="1" t="s">
        <v>5</v>
      </c>
      <c r="N112" s="1" t="s">
        <v>5</v>
      </c>
      <c r="O112" s="1" t="s">
        <v>5</v>
      </c>
      <c r="P112" s="1" t="s">
        <v>5</v>
      </c>
      <c r="Q112" s="1">
        <v>0.3</v>
      </c>
    </row>
    <row r="113" spans="1:17" s="6" customFormat="1" ht="19.5" customHeight="1">
      <c r="A113" s="298" t="s">
        <v>132</v>
      </c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300"/>
    </row>
    <row r="114" spans="1:17" s="6" customFormat="1" ht="30" customHeight="1">
      <c r="A114" s="73" t="s">
        <v>195</v>
      </c>
      <c r="B114" s="15" t="s">
        <v>269</v>
      </c>
      <c r="C114" s="2"/>
      <c r="D114" s="2"/>
      <c r="E114" s="61"/>
      <c r="F114" s="61">
        <f>Список!W123</f>
        <v>5421588.05</v>
      </c>
      <c r="G114" s="18" t="s">
        <v>10</v>
      </c>
      <c r="H114" s="32">
        <f>2*1000*0.89</f>
        <v>1780</v>
      </c>
      <c r="I114" s="2">
        <v>2034191</v>
      </c>
      <c r="J114" s="68" t="e">
        <f>(#REF!-I114)*1/100</f>
        <v>#REF!</v>
      </c>
      <c r="K114" s="8" t="s">
        <v>79</v>
      </c>
      <c r="L114" s="1">
        <v>1</v>
      </c>
      <c r="M114" s="1" t="s">
        <v>5</v>
      </c>
      <c r="N114" s="1" t="s">
        <v>5</v>
      </c>
      <c r="O114" s="1" t="s">
        <v>5</v>
      </c>
      <c r="P114" s="1" t="s">
        <v>5</v>
      </c>
      <c r="Q114" s="1" t="s">
        <v>5</v>
      </c>
    </row>
    <row r="115" spans="1:17" s="6" customFormat="1" ht="31.5">
      <c r="A115" s="3" t="s">
        <v>199</v>
      </c>
      <c r="B115" s="12" t="s">
        <v>270</v>
      </c>
      <c r="C115" s="2">
        <f>945096</f>
        <v>945096</v>
      </c>
      <c r="D115" s="2">
        <f>C115*O115</f>
        <v>3033758.16</v>
      </c>
      <c r="E115" s="61"/>
      <c r="F115" s="61">
        <f>Список!W129</f>
        <v>3265385.5968</v>
      </c>
      <c r="G115" s="18"/>
      <c r="H115" s="31"/>
      <c r="I115" s="2"/>
      <c r="J115" s="114">
        <f>D115*3/100</f>
        <v>91012.7448</v>
      </c>
      <c r="K115" s="8" t="s">
        <v>17</v>
      </c>
      <c r="L115" s="1" t="s">
        <v>5</v>
      </c>
      <c r="M115" s="1" t="s">
        <v>5</v>
      </c>
      <c r="N115" s="1" t="s">
        <v>5</v>
      </c>
      <c r="O115" s="1">
        <f>0.71+2.5</f>
        <v>3.21</v>
      </c>
      <c r="P115" s="1" t="s">
        <v>5</v>
      </c>
      <c r="Q115" s="1" t="s">
        <v>5</v>
      </c>
    </row>
    <row r="116" spans="1:17" s="211" customFormat="1" ht="31.5" hidden="1">
      <c r="A116" s="204" t="s">
        <v>200</v>
      </c>
      <c r="B116" s="205" t="s">
        <v>44</v>
      </c>
      <c r="C116" s="68">
        <f>945096</f>
        <v>945096</v>
      </c>
      <c r="D116" s="68">
        <f>C116*O116</f>
        <v>0</v>
      </c>
      <c r="E116" s="206"/>
      <c r="F116" s="206">
        <f>Список!W130</f>
        <v>0</v>
      </c>
      <c r="G116" s="207"/>
      <c r="H116" s="208"/>
      <c r="I116" s="68"/>
      <c r="J116" s="114">
        <f>D116*3/100</f>
        <v>0</v>
      </c>
      <c r="K116" s="209" t="s">
        <v>17</v>
      </c>
      <c r="L116" s="210" t="s">
        <v>5</v>
      </c>
      <c r="M116" s="210" t="s">
        <v>5</v>
      </c>
      <c r="N116" s="210" t="s">
        <v>5</v>
      </c>
      <c r="O116" s="210"/>
      <c r="P116" s="210" t="s">
        <v>5</v>
      </c>
      <c r="Q116" s="210" t="s">
        <v>5</v>
      </c>
    </row>
    <row r="117" spans="1:17" s="6" customFormat="1" ht="31.5">
      <c r="A117" s="3" t="s">
        <v>218</v>
      </c>
      <c r="B117" s="12" t="s">
        <v>207</v>
      </c>
      <c r="C117" s="2">
        <v>930404</v>
      </c>
      <c r="D117" s="2">
        <f>C117*Q117</f>
        <v>372161.60000000003</v>
      </c>
      <c r="E117" s="2"/>
      <c r="F117" s="61">
        <f>Список!W131</f>
        <v>400576.14</v>
      </c>
      <c r="G117" s="18" t="s">
        <v>10</v>
      </c>
      <c r="H117" s="28">
        <v>800</v>
      </c>
      <c r="I117" s="2"/>
      <c r="J117" s="114">
        <f>D117*3/100</f>
        <v>11164.848</v>
      </c>
      <c r="K117" s="8" t="s">
        <v>216</v>
      </c>
      <c r="L117" s="1" t="s">
        <v>5</v>
      </c>
      <c r="M117" s="1" t="s">
        <v>5</v>
      </c>
      <c r="N117" s="1" t="s">
        <v>5</v>
      </c>
      <c r="O117" s="1" t="s">
        <v>5</v>
      </c>
      <c r="P117" s="1" t="s">
        <v>5</v>
      </c>
      <c r="Q117" s="1">
        <v>0.4</v>
      </c>
    </row>
    <row r="118" spans="1:17" s="132" customFormat="1" ht="15.75">
      <c r="A118" s="122" t="s">
        <v>201</v>
      </c>
      <c r="B118" s="13" t="s">
        <v>133</v>
      </c>
      <c r="C118" s="128">
        <v>857749</v>
      </c>
      <c r="D118" s="157"/>
      <c r="E118" s="124"/>
      <c r="F118" s="61">
        <f>Список!W132+Список!X132+Список!Y132</f>
        <v>7714084.476</v>
      </c>
      <c r="G118" s="125"/>
      <c r="H118" s="126"/>
      <c r="I118" s="128"/>
      <c r="J118" s="114">
        <f>D118*3/100</f>
        <v>0</v>
      </c>
      <c r="K118" s="129"/>
      <c r="L118" s="129"/>
      <c r="M118" s="153">
        <f>SUM(M69:M116)</f>
        <v>0</v>
      </c>
      <c r="N118" s="154"/>
      <c r="O118" s="140"/>
      <c r="P118" s="140"/>
      <c r="Q118" s="140"/>
    </row>
    <row r="119" spans="1:17" ht="18.75">
      <c r="A119" s="72"/>
      <c r="B119" s="12" t="s">
        <v>128</v>
      </c>
      <c r="C119" s="54"/>
      <c r="D119" s="39"/>
      <c r="E119" s="64"/>
      <c r="F119" s="230">
        <f>SUM(F69:F118)</f>
        <v>34440495.48904532</v>
      </c>
      <c r="G119" s="52"/>
      <c r="H119" s="53"/>
      <c r="I119" s="54"/>
      <c r="J119" s="39" t="e">
        <f>SUM(J69:J118)</f>
        <v>#REF!</v>
      </c>
      <c r="K119" s="54"/>
      <c r="L119" s="54"/>
      <c r="M119" s="54"/>
      <c r="N119" s="54"/>
      <c r="O119" s="54"/>
      <c r="P119" s="54"/>
      <c r="Q119" s="54"/>
    </row>
    <row r="120" spans="1:17" ht="15.75">
      <c r="A120" s="72" t="s">
        <v>202</v>
      </c>
      <c r="B120" s="12" t="s">
        <v>6</v>
      </c>
      <c r="C120" s="54"/>
      <c r="D120" s="66">
        <f>505589.22-D58</f>
        <v>358589.22</v>
      </c>
      <c r="E120" s="52"/>
      <c r="F120" s="142">
        <f>Список!W136+Список!X136+Список!Y136</f>
        <v>437597.69979090424</v>
      </c>
      <c r="G120" s="52"/>
      <c r="H120" s="53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ht="18.75">
      <c r="A121" s="51"/>
      <c r="B121" s="13" t="s">
        <v>131</v>
      </c>
      <c r="C121" s="40"/>
      <c r="D121" s="39"/>
      <c r="E121" s="59"/>
      <c r="F121" s="230">
        <f>F119+F120</f>
        <v>34878093.188836224</v>
      </c>
      <c r="G121" s="42" t="s">
        <v>10</v>
      </c>
      <c r="H121" s="143">
        <f>SUM(H69:H120)</f>
        <v>6256.77</v>
      </c>
      <c r="I121" s="40"/>
      <c r="J121" s="40"/>
      <c r="K121" s="40"/>
      <c r="L121" s="41">
        <f>SUM(L69:L116)</f>
        <v>9</v>
      </c>
      <c r="M121" s="41"/>
      <c r="N121" s="98">
        <f>SUM(N69:N117)</f>
        <v>1.3</v>
      </c>
      <c r="O121" s="101">
        <f>SUM(O69:O117)</f>
        <v>6.695</v>
      </c>
      <c r="P121" s="101">
        <f>SUM(P69:P117)</f>
        <v>1.629</v>
      </c>
      <c r="Q121" s="101">
        <f>SUM(Q69:Q117)</f>
        <v>2.035</v>
      </c>
    </row>
    <row r="122" ht="15.75">
      <c r="F122" s="76"/>
    </row>
    <row r="124" spans="1:17" ht="18.75">
      <c r="A124" s="51"/>
      <c r="B124" s="13" t="s">
        <v>223</v>
      </c>
      <c r="C124" s="39"/>
      <c r="D124" s="39"/>
      <c r="E124" s="59"/>
      <c r="F124" s="230">
        <f>F59+F121</f>
        <v>85789462.11688834</v>
      </c>
      <c r="G124" s="39"/>
      <c r="H124" s="144">
        <f>H59+H121</f>
        <v>16109.07</v>
      </c>
      <c r="I124" s="39">
        <f>I59+I121</f>
        <v>0</v>
      </c>
      <c r="J124" s="39">
        <f>J59+J121</f>
        <v>0</v>
      </c>
      <c r="K124" s="39"/>
      <c r="L124" s="39">
        <f aca="true" t="shared" si="3" ref="L124:Q124">L59+L121</f>
        <v>26</v>
      </c>
      <c r="M124" s="145" t="e">
        <f t="shared" si="3"/>
        <v>#VALUE!</v>
      </c>
      <c r="N124" s="145">
        <f t="shared" si="3"/>
        <v>17.55</v>
      </c>
      <c r="O124" s="145">
        <f t="shared" si="3"/>
        <v>7.695</v>
      </c>
      <c r="P124" s="145">
        <f t="shared" si="3"/>
        <v>18.329</v>
      </c>
      <c r="Q124" s="145">
        <f t="shared" si="3"/>
        <v>2.035</v>
      </c>
    </row>
    <row r="125" ht="15.75">
      <c r="N125" s="77"/>
    </row>
    <row r="127" spans="14:17" ht="15.75">
      <c r="N127" s="100"/>
      <c r="O127" s="100"/>
      <c r="P127" s="100"/>
      <c r="Q127" s="100"/>
    </row>
    <row r="128" spans="14:15" ht="15.75">
      <c r="N128" s="168"/>
      <c r="O128" s="168"/>
    </row>
    <row r="129" ht="15.75">
      <c r="O129" s="168"/>
    </row>
    <row r="130" ht="15.75">
      <c r="O130" s="168"/>
    </row>
    <row r="157" spans="1:17" ht="15.75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ht="15.75">
      <c r="A158" s="56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ht="15.75">
      <c r="A159" s="56"/>
      <c r="B159" s="57"/>
      <c r="C159" s="57"/>
      <c r="D159" s="58"/>
      <c r="E159" s="58"/>
      <c r="F159" s="58"/>
      <c r="G159" s="58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ht="15.75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ht="15.75">
      <c r="A161" s="56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</sheetData>
  <mergeCells count="31">
    <mergeCell ref="A103:Q103"/>
    <mergeCell ref="A8:Q8"/>
    <mergeCell ref="A25:Q25"/>
    <mergeCell ref="A30:Q30"/>
    <mergeCell ref="A37:Q37"/>
    <mergeCell ref="A46:Q46"/>
    <mergeCell ref="A50:Q50"/>
    <mergeCell ref="A113:Q113"/>
    <mergeCell ref="P5:P6"/>
    <mergeCell ref="Q5:Q6"/>
    <mergeCell ref="G4:H6"/>
    <mergeCell ref="I4:I6"/>
    <mergeCell ref="E4:E6"/>
    <mergeCell ref="J4:J6"/>
    <mergeCell ref="A7:Q7"/>
    <mergeCell ref="L5:L6"/>
    <mergeCell ref="N5:N6"/>
    <mergeCell ref="A2:Q2"/>
    <mergeCell ref="C4:C6"/>
    <mergeCell ref="F4:F6"/>
    <mergeCell ref="A3:Q3"/>
    <mergeCell ref="A4:A6"/>
    <mergeCell ref="B4:B6"/>
    <mergeCell ref="D4:D6"/>
    <mergeCell ref="L4:Q4"/>
    <mergeCell ref="K4:K6"/>
    <mergeCell ref="M5:M6"/>
    <mergeCell ref="O5:O6"/>
    <mergeCell ref="A68:Q68"/>
    <mergeCell ref="A82:Q82"/>
    <mergeCell ref="A67:Q67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9"/>
  <sheetViews>
    <sheetView zoomScale="85" zoomScaleNormal="85" zoomScaleSheetLayoutView="55" workbookViewId="0" topLeftCell="A1">
      <pane ySplit="6" topLeftCell="BM7" activePane="bottomLeft" state="frozen"/>
      <selection pane="topLeft" activeCell="A1" sqref="A1"/>
      <selection pane="bottomLeft" activeCell="S133" sqref="S133"/>
    </sheetView>
  </sheetViews>
  <sheetFormatPr defaultColWidth="9.00390625" defaultRowHeight="12.75"/>
  <cols>
    <col min="1" max="1" width="5.375" style="55" customWidth="1"/>
    <col min="2" max="2" width="39.625" style="47" customWidth="1"/>
    <col min="3" max="3" width="12.00390625" style="47" hidden="1" customWidth="1"/>
    <col min="4" max="4" width="17.00390625" style="47" hidden="1" customWidth="1"/>
    <col min="5" max="5" width="8.375" style="47" customWidth="1"/>
    <col min="6" max="6" width="11.875" style="284" customWidth="1"/>
    <col min="7" max="7" width="15.375" style="47" hidden="1" customWidth="1"/>
    <col min="8" max="8" width="15.125" style="47" hidden="1" customWidth="1"/>
    <col min="9" max="9" width="13.625" style="47" hidden="1" customWidth="1"/>
    <col min="10" max="10" width="7.00390625" style="47" hidden="1" customWidth="1"/>
    <col min="11" max="11" width="7.125" style="47" hidden="1" customWidth="1"/>
    <col min="12" max="12" width="7.00390625" style="47" hidden="1" customWidth="1"/>
    <col min="13" max="15" width="13.625" style="47" customWidth="1"/>
    <col min="16" max="16" width="12.00390625" style="47" customWidth="1"/>
    <col min="17" max="17" width="6.625" style="47" customWidth="1"/>
    <col min="18" max="19" width="8.75390625" style="47" customWidth="1"/>
    <col min="20" max="21" width="8.25390625" style="47" customWidth="1"/>
    <col min="22" max="22" width="9.25390625" style="47" customWidth="1"/>
    <col min="23" max="23" width="11.875" style="47" hidden="1" customWidth="1"/>
    <col min="24" max="24" width="12.75390625" style="47" hidden="1" customWidth="1"/>
    <col min="25" max="25" width="12.25390625" style="47" hidden="1" customWidth="1"/>
    <col min="26" max="26" width="15.125" style="47" bestFit="1" customWidth="1"/>
    <col min="27" max="27" width="17.25390625" style="47" customWidth="1"/>
    <col min="28" max="28" width="18.25390625" style="47" customWidth="1"/>
    <col min="29" max="16384" width="9.125" style="47" customWidth="1"/>
  </cols>
  <sheetData>
    <row r="1" spans="1:25" ht="18.75">
      <c r="A1" s="351" t="s">
        <v>289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ht="15.75" customHeight="1">
      <c r="A2" s="353" t="s">
        <v>280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5"/>
      <c r="X2" s="355"/>
      <c r="Y2" s="355"/>
    </row>
    <row r="3" spans="1:25" ht="29.25" customHeight="1">
      <c r="A3" s="342" t="s">
        <v>279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4"/>
      <c r="X3" s="344"/>
      <c r="Y3" s="344"/>
    </row>
    <row r="4" spans="1:25" ht="15.75" customHeight="1">
      <c r="A4" s="308" t="s">
        <v>0</v>
      </c>
      <c r="B4" s="290" t="s">
        <v>1</v>
      </c>
      <c r="C4" s="327" t="s">
        <v>215</v>
      </c>
      <c r="D4" s="327" t="s">
        <v>134</v>
      </c>
      <c r="E4" s="290" t="s">
        <v>99</v>
      </c>
      <c r="F4" s="290"/>
      <c r="G4" s="290" t="s">
        <v>228</v>
      </c>
      <c r="H4" s="290" t="s">
        <v>136</v>
      </c>
      <c r="I4" s="290" t="s">
        <v>135</v>
      </c>
      <c r="J4" s="326" t="s">
        <v>208</v>
      </c>
      <c r="K4" s="326" t="s">
        <v>209</v>
      </c>
      <c r="L4" s="326" t="s">
        <v>210</v>
      </c>
      <c r="M4" s="290" t="s">
        <v>211</v>
      </c>
      <c r="N4" s="290" t="s">
        <v>212</v>
      </c>
      <c r="O4" s="290" t="s">
        <v>213</v>
      </c>
      <c r="P4" s="290" t="s">
        <v>13</v>
      </c>
      <c r="Q4" s="290" t="s">
        <v>12</v>
      </c>
      <c r="R4" s="290"/>
      <c r="S4" s="290"/>
      <c r="T4" s="290"/>
      <c r="U4" s="290"/>
      <c r="V4" s="290"/>
      <c r="W4" s="331" t="s">
        <v>214</v>
      </c>
      <c r="X4" s="332"/>
      <c r="Y4" s="333"/>
    </row>
    <row r="5" spans="1:25" ht="32.25" customHeight="1">
      <c r="A5" s="308"/>
      <c r="B5" s="290"/>
      <c r="C5" s="328"/>
      <c r="D5" s="328"/>
      <c r="E5" s="290"/>
      <c r="F5" s="290"/>
      <c r="G5" s="290"/>
      <c r="H5" s="290"/>
      <c r="I5" s="290"/>
      <c r="J5" s="326"/>
      <c r="K5" s="326"/>
      <c r="L5" s="326"/>
      <c r="M5" s="290"/>
      <c r="N5" s="290"/>
      <c r="O5" s="290"/>
      <c r="P5" s="290"/>
      <c r="Q5" s="290" t="s">
        <v>8</v>
      </c>
      <c r="R5" s="290" t="s">
        <v>11</v>
      </c>
      <c r="S5" s="290" t="s">
        <v>7</v>
      </c>
      <c r="T5" s="290" t="s">
        <v>2</v>
      </c>
      <c r="U5" s="290" t="s">
        <v>3</v>
      </c>
      <c r="V5" s="290" t="s">
        <v>4</v>
      </c>
      <c r="W5" s="334"/>
      <c r="X5" s="335"/>
      <c r="Y5" s="336"/>
    </row>
    <row r="6" spans="1:25" ht="60.75" customHeight="1">
      <c r="A6" s="308"/>
      <c r="B6" s="290"/>
      <c r="C6" s="324"/>
      <c r="D6" s="324"/>
      <c r="E6" s="290"/>
      <c r="F6" s="290"/>
      <c r="G6" s="290"/>
      <c r="H6" s="290"/>
      <c r="I6" s="290"/>
      <c r="J6" s="326"/>
      <c r="K6" s="326"/>
      <c r="L6" s="326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4" t="s">
        <v>138</v>
      </c>
      <c r="X6" s="4" t="s">
        <v>139</v>
      </c>
      <c r="Y6" s="4" t="s">
        <v>140</v>
      </c>
    </row>
    <row r="7" spans="1:25" ht="15.75">
      <c r="A7" s="347" t="s">
        <v>130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9"/>
      <c r="X7" s="349"/>
      <c r="Y7" s="350"/>
    </row>
    <row r="8" spans="1:25" ht="19.5" customHeight="1">
      <c r="A8" s="358" t="s">
        <v>95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360"/>
      <c r="Y8" s="361"/>
    </row>
    <row r="9" spans="1:27" ht="52.5" customHeight="1">
      <c r="A9" s="3" t="s">
        <v>28</v>
      </c>
      <c r="B9" s="12" t="s">
        <v>20</v>
      </c>
      <c r="C9" s="2"/>
      <c r="D9" s="61"/>
      <c r="E9" s="18"/>
      <c r="F9" s="264"/>
      <c r="G9" s="11">
        <f>757416</f>
        <v>757416</v>
      </c>
      <c r="H9" s="11"/>
      <c r="I9" s="11">
        <f>C9*3/100</f>
        <v>0</v>
      </c>
      <c r="J9" s="102"/>
      <c r="K9" s="141">
        <f>(1.048*1.058*1.031)</f>
        <v>1.143156304</v>
      </c>
      <c r="L9" s="102"/>
      <c r="M9" s="11"/>
      <c r="N9" s="103">
        <f>G9*1.048*1.058*1.031</f>
        <v>865844.8751504639</v>
      </c>
      <c r="O9" s="11"/>
      <c r="P9" s="8" t="s">
        <v>74</v>
      </c>
      <c r="Q9" s="1" t="s">
        <v>5</v>
      </c>
      <c r="R9" s="1" t="s">
        <v>5</v>
      </c>
      <c r="S9" s="1">
        <v>1.2</v>
      </c>
      <c r="T9" s="1" t="s">
        <v>5</v>
      </c>
      <c r="U9" s="1" t="s">
        <v>5</v>
      </c>
      <c r="V9" s="1" t="s">
        <v>5</v>
      </c>
      <c r="W9" s="2"/>
      <c r="X9" s="2">
        <f>N9*S9</f>
        <v>1039013.8501805566</v>
      </c>
      <c r="Y9" s="2"/>
      <c r="AA9" s="146"/>
    </row>
    <row r="10" spans="1:25" ht="31.5">
      <c r="A10" s="3" t="s">
        <v>29</v>
      </c>
      <c r="B10" s="13" t="s">
        <v>125</v>
      </c>
      <c r="C10" s="2"/>
      <c r="D10" s="61"/>
      <c r="E10" s="18" t="s">
        <v>10</v>
      </c>
      <c r="F10" s="265">
        <f>250*0.89</f>
        <v>222.5</v>
      </c>
      <c r="G10" s="2">
        <f>466241</f>
        <v>466241</v>
      </c>
      <c r="H10" s="2">
        <v>136841</v>
      </c>
      <c r="I10" s="2">
        <f>(G10-H10)*1/100</f>
        <v>3294</v>
      </c>
      <c r="J10" s="102"/>
      <c r="K10" s="141">
        <f aca="true" t="shared" si="0" ref="K10:K16">(1.048*1.058*1.031)</f>
        <v>1.143156304</v>
      </c>
      <c r="L10" s="102"/>
      <c r="M10" s="11"/>
      <c r="N10" s="103">
        <f aca="true" t="shared" si="1" ref="N10:N16">G10*1.048*1.058*1.031</f>
        <v>532986.338333264</v>
      </c>
      <c r="O10" s="2"/>
      <c r="P10" s="8" t="s">
        <v>75</v>
      </c>
      <c r="Q10" s="1">
        <v>1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2"/>
      <c r="X10" s="2">
        <f>N10*Q10</f>
        <v>532986.338333264</v>
      </c>
      <c r="Y10" s="2"/>
    </row>
    <row r="11" spans="1:25" ht="31.5">
      <c r="A11" s="3" t="s">
        <v>30</v>
      </c>
      <c r="B11" s="13" t="s">
        <v>27</v>
      </c>
      <c r="C11" s="2"/>
      <c r="D11" s="61"/>
      <c r="E11" s="18" t="s">
        <v>10</v>
      </c>
      <c r="F11" s="265">
        <f>250*0.89</f>
        <v>222.5</v>
      </c>
      <c r="G11" s="2">
        <f>466241</f>
        <v>466241</v>
      </c>
      <c r="H11" s="2">
        <v>136841</v>
      </c>
      <c r="I11" s="2">
        <f>(G11-H11)*1/100</f>
        <v>3294</v>
      </c>
      <c r="J11" s="102"/>
      <c r="K11" s="141">
        <f t="shared" si="0"/>
        <v>1.143156304</v>
      </c>
      <c r="L11" s="102"/>
      <c r="M11" s="11"/>
      <c r="N11" s="103">
        <f t="shared" si="1"/>
        <v>532986.338333264</v>
      </c>
      <c r="O11" s="2"/>
      <c r="P11" s="8" t="s">
        <v>75</v>
      </c>
      <c r="Q11" s="1">
        <v>1</v>
      </c>
      <c r="R11" s="1" t="s">
        <v>5</v>
      </c>
      <c r="S11" s="1" t="s">
        <v>5</v>
      </c>
      <c r="T11" s="1" t="s">
        <v>5</v>
      </c>
      <c r="U11" s="1" t="s">
        <v>5</v>
      </c>
      <c r="V11" s="1" t="s">
        <v>5</v>
      </c>
      <c r="W11" s="2"/>
      <c r="X11" s="2">
        <f>N11*Q11</f>
        <v>532986.338333264</v>
      </c>
      <c r="Y11" s="2"/>
    </row>
    <row r="12" spans="1:25" ht="31.5">
      <c r="A12" s="3" t="s">
        <v>31</v>
      </c>
      <c r="B12" s="13" t="s">
        <v>124</v>
      </c>
      <c r="C12" s="2"/>
      <c r="D12" s="61"/>
      <c r="E12" s="18" t="s">
        <v>10</v>
      </c>
      <c r="F12" s="266">
        <f>2*250*0.89</f>
        <v>445</v>
      </c>
      <c r="G12" s="2">
        <v>933123</v>
      </c>
      <c r="H12" s="2">
        <f>235470</f>
        <v>235470</v>
      </c>
      <c r="I12" s="2">
        <f>(G12-H12)*1/100</f>
        <v>6976.53</v>
      </c>
      <c r="J12" s="102"/>
      <c r="K12" s="141">
        <f t="shared" si="0"/>
        <v>1.143156304</v>
      </c>
      <c r="L12" s="102"/>
      <c r="M12" s="11"/>
      <c r="N12" s="103">
        <f t="shared" si="1"/>
        <v>1066705.439857392</v>
      </c>
      <c r="O12" s="2"/>
      <c r="P12" s="8" t="s">
        <v>76</v>
      </c>
      <c r="Q12" s="1">
        <v>1</v>
      </c>
      <c r="R12" s="1" t="s">
        <v>5</v>
      </c>
      <c r="S12" s="1" t="s">
        <v>5</v>
      </c>
      <c r="T12" s="1" t="s">
        <v>5</v>
      </c>
      <c r="U12" s="1" t="s">
        <v>5</v>
      </c>
      <c r="V12" s="1" t="s">
        <v>5</v>
      </c>
      <c r="W12" s="2"/>
      <c r="X12" s="2">
        <f>N12*Q12</f>
        <v>1066705.439857392</v>
      </c>
      <c r="Y12" s="2"/>
    </row>
    <row r="13" spans="1:25" ht="47.25">
      <c r="A13" s="3" t="s">
        <v>32</v>
      </c>
      <c r="B13" s="12" t="s">
        <v>21</v>
      </c>
      <c r="C13" s="2"/>
      <c r="D13" s="61"/>
      <c r="E13" s="18"/>
      <c r="F13" s="267"/>
      <c r="G13" s="11">
        <f>757416</f>
        <v>757416</v>
      </c>
      <c r="H13" s="11"/>
      <c r="I13" s="11">
        <f>C13*3/100</f>
        <v>0</v>
      </c>
      <c r="J13" s="102"/>
      <c r="K13" s="141">
        <f t="shared" si="0"/>
        <v>1.143156304</v>
      </c>
      <c r="L13" s="102"/>
      <c r="M13" s="11"/>
      <c r="N13" s="103">
        <f t="shared" si="1"/>
        <v>865844.8751504639</v>
      </c>
      <c r="O13" s="11"/>
      <c r="P13" s="8" t="s">
        <v>74</v>
      </c>
      <c r="Q13" s="1" t="s">
        <v>5</v>
      </c>
      <c r="R13" s="1" t="s">
        <v>5</v>
      </c>
      <c r="S13" s="1">
        <v>1.2</v>
      </c>
      <c r="T13" s="1" t="s">
        <v>5</v>
      </c>
      <c r="U13" s="1" t="s">
        <v>5</v>
      </c>
      <c r="V13" s="1" t="s">
        <v>5</v>
      </c>
      <c r="W13" s="2"/>
      <c r="X13" s="2">
        <f>N13*S13</f>
        <v>1039013.8501805566</v>
      </c>
      <c r="Y13" s="2"/>
    </row>
    <row r="14" spans="1:25" ht="31.5">
      <c r="A14" s="3" t="s">
        <v>33</v>
      </c>
      <c r="B14" s="13" t="s">
        <v>121</v>
      </c>
      <c r="C14" s="2"/>
      <c r="D14" s="61"/>
      <c r="E14" s="18" t="s">
        <v>10</v>
      </c>
      <c r="F14" s="266">
        <f>2*250*0.89</f>
        <v>445</v>
      </c>
      <c r="G14" s="2">
        <v>933123</v>
      </c>
      <c r="H14" s="2">
        <f>235470</f>
        <v>235470</v>
      </c>
      <c r="I14" s="2">
        <f>(G14-H14)*1/100</f>
        <v>6976.53</v>
      </c>
      <c r="J14" s="102"/>
      <c r="K14" s="141">
        <f t="shared" si="0"/>
        <v>1.143156304</v>
      </c>
      <c r="L14" s="102"/>
      <c r="M14" s="11"/>
      <c r="N14" s="103">
        <f t="shared" si="1"/>
        <v>1066705.439857392</v>
      </c>
      <c r="O14" s="2"/>
      <c r="P14" s="8" t="s">
        <v>76</v>
      </c>
      <c r="Q14" s="1">
        <v>1</v>
      </c>
      <c r="R14" s="1" t="s">
        <v>5</v>
      </c>
      <c r="S14" s="1" t="s">
        <v>5</v>
      </c>
      <c r="T14" s="1" t="s">
        <v>5</v>
      </c>
      <c r="U14" s="1" t="s">
        <v>5</v>
      </c>
      <c r="V14" s="1" t="s">
        <v>5</v>
      </c>
      <c r="W14" s="2"/>
      <c r="X14" s="2">
        <f>N14*Q14</f>
        <v>1066705.439857392</v>
      </c>
      <c r="Y14" s="2"/>
    </row>
    <row r="15" spans="1:25" ht="31.5">
      <c r="A15" s="3" t="s">
        <v>34</v>
      </c>
      <c r="B15" s="13" t="s">
        <v>122</v>
      </c>
      <c r="C15" s="2"/>
      <c r="D15" s="61"/>
      <c r="E15" s="18" t="s">
        <v>10</v>
      </c>
      <c r="F15" s="266">
        <f>2*250*0.89</f>
        <v>445</v>
      </c>
      <c r="G15" s="2">
        <v>933123</v>
      </c>
      <c r="H15" s="2">
        <f>235470</f>
        <v>235470</v>
      </c>
      <c r="I15" s="2">
        <f>(G15-H15)*1/100</f>
        <v>6976.53</v>
      </c>
      <c r="J15" s="102"/>
      <c r="K15" s="141">
        <f t="shared" si="0"/>
        <v>1.143156304</v>
      </c>
      <c r="L15" s="102"/>
      <c r="M15" s="11"/>
      <c r="N15" s="103">
        <f t="shared" si="1"/>
        <v>1066705.439857392</v>
      </c>
      <c r="O15" s="2"/>
      <c r="P15" s="8" t="s">
        <v>76</v>
      </c>
      <c r="Q15" s="1">
        <v>1</v>
      </c>
      <c r="R15" s="1" t="s">
        <v>5</v>
      </c>
      <c r="S15" s="1" t="s">
        <v>5</v>
      </c>
      <c r="T15" s="1" t="s">
        <v>5</v>
      </c>
      <c r="U15" s="1" t="s">
        <v>5</v>
      </c>
      <c r="V15" s="1" t="s">
        <v>5</v>
      </c>
      <c r="W15" s="2"/>
      <c r="X15" s="2">
        <f>N15*Q15</f>
        <v>1066705.439857392</v>
      </c>
      <c r="Y15" s="2"/>
    </row>
    <row r="16" spans="1:25" ht="31.5">
      <c r="A16" s="3" t="s">
        <v>35</v>
      </c>
      <c r="B16" s="13" t="s">
        <v>123</v>
      </c>
      <c r="C16" s="2"/>
      <c r="D16" s="61"/>
      <c r="E16" s="18" t="s">
        <v>10</v>
      </c>
      <c r="F16" s="266">
        <f>2*250*0.89</f>
        <v>445</v>
      </c>
      <c r="G16" s="2">
        <v>933123</v>
      </c>
      <c r="H16" s="2">
        <f>235470</f>
        <v>235470</v>
      </c>
      <c r="I16" s="2">
        <f>(G16-H16)*1/100</f>
        <v>6976.53</v>
      </c>
      <c r="J16" s="102"/>
      <c r="K16" s="141">
        <f t="shared" si="0"/>
        <v>1.143156304</v>
      </c>
      <c r="L16" s="102"/>
      <c r="M16" s="11"/>
      <c r="N16" s="103">
        <f t="shared" si="1"/>
        <v>1066705.439857392</v>
      </c>
      <c r="O16" s="2"/>
      <c r="P16" s="8" t="s">
        <v>76</v>
      </c>
      <c r="Q16" s="1">
        <v>1</v>
      </c>
      <c r="R16" s="1" t="s">
        <v>5</v>
      </c>
      <c r="S16" s="1" t="s">
        <v>5</v>
      </c>
      <c r="T16" s="1" t="s">
        <v>5</v>
      </c>
      <c r="U16" s="1" t="s">
        <v>5</v>
      </c>
      <c r="V16" s="1" t="s">
        <v>5</v>
      </c>
      <c r="W16" s="2"/>
      <c r="X16" s="2">
        <f>N16*Q16</f>
        <v>1066705.439857392</v>
      </c>
      <c r="Y16" s="2"/>
    </row>
    <row r="17" spans="1:25" ht="47.25">
      <c r="A17" s="3" t="s">
        <v>36</v>
      </c>
      <c r="B17" s="12" t="s">
        <v>89</v>
      </c>
      <c r="C17" s="2"/>
      <c r="D17" s="61"/>
      <c r="E17" s="18"/>
      <c r="F17" s="268"/>
      <c r="G17" s="11">
        <f>757416</f>
        <v>757416</v>
      </c>
      <c r="H17" s="11"/>
      <c r="I17" s="11">
        <f>C17*3/100</f>
        <v>0</v>
      </c>
      <c r="J17" s="141">
        <f aca="true" t="shared" si="2" ref="J17:J27">(1.048*1.029)</f>
        <v>1.078392</v>
      </c>
      <c r="K17" s="11"/>
      <c r="L17" s="11"/>
      <c r="M17" s="103">
        <f>G17*1.048*1.029</f>
        <v>816791.355072</v>
      </c>
      <c r="N17" s="11"/>
      <c r="O17" s="11"/>
      <c r="P17" s="10" t="s">
        <v>74</v>
      </c>
      <c r="Q17" s="1" t="s">
        <v>5</v>
      </c>
      <c r="R17" s="1" t="s">
        <v>5</v>
      </c>
      <c r="S17" s="1">
        <v>2.5</v>
      </c>
      <c r="T17" s="1" t="s">
        <v>5</v>
      </c>
      <c r="U17" s="1" t="s">
        <v>5</v>
      </c>
      <c r="V17" s="1" t="s">
        <v>5</v>
      </c>
      <c r="W17" s="2">
        <f>M17*S17</f>
        <v>2041978.38768</v>
      </c>
      <c r="X17" s="2"/>
      <c r="Y17" s="2"/>
    </row>
    <row r="18" spans="1:25" ht="36" customHeight="1">
      <c r="A18" s="73" t="s">
        <v>37</v>
      </c>
      <c r="B18" s="13" t="s">
        <v>24</v>
      </c>
      <c r="C18" s="2"/>
      <c r="D18" s="61"/>
      <c r="E18" s="18" t="s">
        <v>10</v>
      </c>
      <c r="F18" s="266">
        <f>2*250*0.89</f>
        <v>445</v>
      </c>
      <c r="G18" s="2">
        <v>933123</v>
      </c>
      <c r="H18" s="2">
        <f>235470</f>
        <v>235470</v>
      </c>
      <c r="I18" s="2">
        <f>(G18-H18)*1/100</f>
        <v>6976.53</v>
      </c>
      <c r="J18" s="141">
        <f t="shared" si="2"/>
        <v>1.078392</v>
      </c>
      <c r="K18" s="2"/>
      <c r="L18" s="2"/>
      <c r="M18" s="103">
        <f>G18*1.048*1.029</f>
        <v>1006272.378216</v>
      </c>
      <c r="N18" s="2"/>
      <c r="O18" s="2"/>
      <c r="P18" s="10" t="s">
        <v>76</v>
      </c>
      <c r="Q18" s="1">
        <v>1</v>
      </c>
      <c r="R18" s="1" t="s">
        <v>5</v>
      </c>
      <c r="S18" s="1" t="s">
        <v>5</v>
      </c>
      <c r="T18" s="1" t="s">
        <v>5</v>
      </c>
      <c r="U18" s="1" t="s">
        <v>5</v>
      </c>
      <c r="V18" s="1" t="s">
        <v>5</v>
      </c>
      <c r="W18" s="2">
        <f>M18*Q18</f>
        <v>1006272.378216</v>
      </c>
      <c r="X18" s="2"/>
      <c r="Y18" s="2"/>
    </row>
    <row r="19" spans="1:25" ht="39.75" customHeight="1">
      <c r="A19" s="73" t="s">
        <v>38</v>
      </c>
      <c r="B19" s="13" t="s">
        <v>25</v>
      </c>
      <c r="C19" s="2"/>
      <c r="D19" s="61"/>
      <c r="E19" s="18" t="s">
        <v>10</v>
      </c>
      <c r="F19" s="266">
        <f>2*250*0.89</f>
        <v>445</v>
      </c>
      <c r="G19" s="2">
        <v>853238</v>
      </c>
      <c r="H19" s="2">
        <f>235470</f>
        <v>235470</v>
      </c>
      <c r="I19" s="2">
        <f>(G19-H19)*1/100</f>
        <v>6177.68</v>
      </c>
      <c r="J19" s="141">
        <f t="shared" si="2"/>
        <v>1.078392</v>
      </c>
      <c r="K19" s="2"/>
      <c r="L19" s="2"/>
      <c r="M19" s="103">
        <f>G19*1.048*1.029</f>
        <v>920125.033296</v>
      </c>
      <c r="N19" s="2"/>
      <c r="O19" s="2"/>
      <c r="P19" s="10" t="s">
        <v>76</v>
      </c>
      <c r="Q19" s="1">
        <v>1</v>
      </c>
      <c r="R19" s="1" t="s">
        <v>5</v>
      </c>
      <c r="S19" s="1" t="s">
        <v>5</v>
      </c>
      <c r="T19" s="1" t="s">
        <v>5</v>
      </c>
      <c r="U19" s="1" t="s">
        <v>5</v>
      </c>
      <c r="V19" s="1" t="s">
        <v>5</v>
      </c>
      <c r="W19" s="2">
        <f>M19*Q19</f>
        <v>920125.033296</v>
      </c>
      <c r="X19" s="2"/>
      <c r="Y19" s="2"/>
    </row>
    <row r="20" spans="1:25" ht="40.5" customHeight="1">
      <c r="A20" s="73" t="s">
        <v>39</v>
      </c>
      <c r="B20" s="13" t="s">
        <v>26</v>
      </c>
      <c r="C20" s="2"/>
      <c r="D20" s="61"/>
      <c r="E20" s="18" t="s">
        <v>10</v>
      </c>
      <c r="F20" s="265">
        <f>250*0.89</f>
        <v>222.5</v>
      </c>
      <c r="G20" s="2">
        <f>466241</f>
        <v>466241</v>
      </c>
      <c r="H20" s="2">
        <v>136841</v>
      </c>
      <c r="I20" s="2">
        <f>(G20-H20)*1/100</f>
        <v>3294</v>
      </c>
      <c r="J20" s="141">
        <f t="shared" si="2"/>
        <v>1.078392</v>
      </c>
      <c r="K20" s="141">
        <f>(1.048*1.058*1.031)</f>
        <v>1.143156304</v>
      </c>
      <c r="L20" s="102"/>
      <c r="M20" s="11"/>
      <c r="N20" s="103">
        <f>G20*1.048*1.058*1.031</f>
        <v>532986.338333264</v>
      </c>
      <c r="O20" s="2"/>
      <c r="P20" s="10" t="s">
        <v>75</v>
      </c>
      <c r="Q20" s="1">
        <v>1</v>
      </c>
      <c r="R20" s="1" t="s">
        <v>5</v>
      </c>
      <c r="S20" s="1" t="s">
        <v>5</v>
      </c>
      <c r="T20" s="1" t="s">
        <v>5</v>
      </c>
      <c r="U20" s="1" t="s">
        <v>5</v>
      </c>
      <c r="V20" s="1" t="s">
        <v>5</v>
      </c>
      <c r="W20" s="2">
        <f>N20</f>
        <v>532986.338333264</v>
      </c>
      <c r="X20" s="2"/>
      <c r="Y20" s="2"/>
    </row>
    <row r="21" spans="1:25" ht="21.75" customHeight="1">
      <c r="A21" s="329" t="s">
        <v>284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231"/>
      <c r="X21" s="2"/>
      <c r="Y21" s="2"/>
    </row>
    <row r="22" spans="1:25" ht="17.25" customHeight="1">
      <c r="A22" s="256"/>
      <c r="B22" s="255"/>
      <c r="C22" s="255"/>
      <c r="D22" s="255"/>
      <c r="E22" s="255"/>
      <c r="F22" s="269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31"/>
      <c r="X22" s="2"/>
      <c r="Y22" s="2"/>
    </row>
    <row r="23" spans="1:25" ht="27" customHeight="1">
      <c r="A23" s="337" t="s">
        <v>0</v>
      </c>
      <c r="B23" s="324" t="s">
        <v>1</v>
      </c>
      <c r="C23" s="328" t="s">
        <v>215</v>
      </c>
      <c r="D23" s="328" t="s">
        <v>134</v>
      </c>
      <c r="E23" s="324" t="s">
        <v>99</v>
      </c>
      <c r="F23" s="324"/>
      <c r="G23" s="324" t="s">
        <v>228</v>
      </c>
      <c r="H23" s="324" t="s">
        <v>136</v>
      </c>
      <c r="I23" s="324" t="s">
        <v>135</v>
      </c>
      <c r="J23" s="325" t="s">
        <v>208</v>
      </c>
      <c r="K23" s="325" t="s">
        <v>209</v>
      </c>
      <c r="L23" s="325" t="s">
        <v>210</v>
      </c>
      <c r="M23" s="324" t="s">
        <v>211</v>
      </c>
      <c r="N23" s="324" t="s">
        <v>212</v>
      </c>
      <c r="O23" s="324" t="s">
        <v>213</v>
      </c>
      <c r="P23" s="324" t="s">
        <v>13</v>
      </c>
      <c r="Q23" s="324" t="s">
        <v>12</v>
      </c>
      <c r="R23" s="324"/>
      <c r="S23" s="324"/>
      <c r="T23" s="324"/>
      <c r="U23" s="324"/>
      <c r="V23" s="324"/>
      <c r="W23" s="331" t="s">
        <v>214</v>
      </c>
      <c r="X23" s="332"/>
      <c r="Y23" s="333"/>
    </row>
    <row r="24" spans="1:25" ht="32.25" customHeight="1">
      <c r="A24" s="308"/>
      <c r="B24" s="290"/>
      <c r="C24" s="328"/>
      <c r="D24" s="328"/>
      <c r="E24" s="290"/>
      <c r="F24" s="290"/>
      <c r="G24" s="290"/>
      <c r="H24" s="290"/>
      <c r="I24" s="290"/>
      <c r="J24" s="326"/>
      <c r="K24" s="326"/>
      <c r="L24" s="326"/>
      <c r="M24" s="290"/>
      <c r="N24" s="290"/>
      <c r="O24" s="290"/>
      <c r="P24" s="290"/>
      <c r="Q24" s="290" t="s">
        <v>8</v>
      </c>
      <c r="R24" s="290" t="s">
        <v>11</v>
      </c>
      <c r="S24" s="290" t="s">
        <v>7</v>
      </c>
      <c r="T24" s="290" t="s">
        <v>2</v>
      </c>
      <c r="U24" s="290" t="s">
        <v>3</v>
      </c>
      <c r="V24" s="290" t="s">
        <v>4</v>
      </c>
      <c r="W24" s="334"/>
      <c r="X24" s="335"/>
      <c r="Y24" s="336"/>
    </row>
    <row r="25" spans="1:25" ht="54.75" customHeight="1">
      <c r="A25" s="308"/>
      <c r="B25" s="290"/>
      <c r="C25" s="324"/>
      <c r="D25" s="324"/>
      <c r="E25" s="290"/>
      <c r="F25" s="290"/>
      <c r="G25" s="290"/>
      <c r="H25" s="290"/>
      <c r="I25" s="290"/>
      <c r="J25" s="326"/>
      <c r="K25" s="326"/>
      <c r="L25" s="326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4" t="s">
        <v>138</v>
      </c>
      <c r="X25" s="4" t="s">
        <v>139</v>
      </c>
      <c r="Y25" s="4" t="s">
        <v>140</v>
      </c>
    </row>
    <row r="26" spans="1:25" ht="31.5">
      <c r="A26" s="3" t="s">
        <v>40</v>
      </c>
      <c r="B26" s="12" t="s">
        <v>22</v>
      </c>
      <c r="C26" s="2"/>
      <c r="D26" s="61"/>
      <c r="E26" s="18"/>
      <c r="F26" s="270"/>
      <c r="G26" s="11">
        <f>757416</f>
        <v>757416</v>
      </c>
      <c r="H26" s="11"/>
      <c r="I26" s="11">
        <f>C26*3/100</f>
        <v>0</v>
      </c>
      <c r="J26" s="141">
        <f t="shared" si="2"/>
        <v>1.078392</v>
      </c>
      <c r="K26" s="11"/>
      <c r="L26" s="11"/>
      <c r="M26" s="103">
        <f>G26*1.048*1.029</f>
        <v>816791.355072</v>
      </c>
      <c r="N26" s="11"/>
      <c r="O26" s="11"/>
      <c r="P26" s="10" t="s">
        <v>74</v>
      </c>
      <c r="Q26" s="1" t="s">
        <v>5</v>
      </c>
      <c r="R26" s="1" t="s">
        <v>5</v>
      </c>
      <c r="S26" s="1">
        <v>1.6</v>
      </c>
      <c r="T26" s="1" t="s">
        <v>5</v>
      </c>
      <c r="U26" s="1" t="s">
        <v>5</v>
      </c>
      <c r="V26" s="1" t="s">
        <v>5</v>
      </c>
      <c r="W26" s="2">
        <f>M26*S26</f>
        <v>1306866.1681152</v>
      </c>
      <c r="X26" s="2"/>
      <c r="Y26" s="2"/>
    </row>
    <row r="27" spans="1:25" ht="31.5">
      <c r="A27" s="3" t="s">
        <v>9</v>
      </c>
      <c r="B27" s="12" t="s">
        <v>23</v>
      </c>
      <c r="C27" s="2"/>
      <c r="D27" s="61"/>
      <c r="E27" s="18"/>
      <c r="F27" s="231"/>
      <c r="G27" s="2">
        <v>738346</v>
      </c>
      <c r="H27" s="2"/>
      <c r="I27" s="11">
        <f>C27*3/100</f>
        <v>0</v>
      </c>
      <c r="J27" s="141">
        <f t="shared" si="2"/>
        <v>1.078392</v>
      </c>
      <c r="K27" s="11"/>
      <c r="L27" s="11"/>
      <c r="M27" s="103">
        <f>G27*1.048*1.029</f>
        <v>796226.4196319999</v>
      </c>
      <c r="N27" s="11"/>
      <c r="O27" s="11"/>
      <c r="P27" s="10" t="s">
        <v>92</v>
      </c>
      <c r="Q27" s="1" t="s">
        <v>5</v>
      </c>
      <c r="R27" s="1" t="s">
        <v>5</v>
      </c>
      <c r="S27" s="1" t="s">
        <v>5</v>
      </c>
      <c r="T27" s="1" t="s">
        <v>5</v>
      </c>
      <c r="U27" s="1">
        <v>12</v>
      </c>
      <c r="V27" s="1" t="s">
        <v>5</v>
      </c>
      <c r="W27" s="2">
        <f>M27*U27</f>
        <v>9554717.035583999</v>
      </c>
      <c r="X27" s="2"/>
      <c r="Y27" s="2"/>
    </row>
    <row r="28" spans="1:25" ht="19.5" customHeight="1">
      <c r="A28" s="298" t="s">
        <v>90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338"/>
      <c r="X28" s="338"/>
      <c r="Y28" s="339"/>
    </row>
    <row r="29" spans="1:25" ht="39.75" customHeight="1">
      <c r="A29" s="73" t="s">
        <v>141</v>
      </c>
      <c r="B29" s="13" t="s">
        <v>91</v>
      </c>
      <c r="C29" s="2"/>
      <c r="D29" s="61"/>
      <c r="E29" s="18" t="s">
        <v>10</v>
      </c>
      <c r="F29" s="271">
        <f>2*630*0.89</f>
        <v>1121.4</v>
      </c>
      <c r="G29" s="2">
        <v>2275837</v>
      </c>
      <c r="H29" s="2">
        <f>G29*28/100</f>
        <v>637234.36</v>
      </c>
      <c r="I29" s="2">
        <f>(G29-H29)*1/100</f>
        <v>16386.026400000002</v>
      </c>
      <c r="J29" s="141">
        <f>(1.048*1.029)</f>
        <v>1.078392</v>
      </c>
      <c r="K29" s="2"/>
      <c r="L29" s="2"/>
      <c r="M29" s="103">
        <f>G29*1.048*1.029</f>
        <v>2454244.4141039997</v>
      </c>
      <c r="N29" s="2"/>
      <c r="O29" s="2"/>
      <c r="P29" s="10" t="s">
        <v>80</v>
      </c>
      <c r="Q29" s="1">
        <v>1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2">
        <f>M29*Q29</f>
        <v>2454244.4141039997</v>
      </c>
      <c r="X29" s="2"/>
      <c r="Y29" s="2"/>
    </row>
    <row r="30" spans="1:25" ht="35.25" customHeight="1">
      <c r="A30" s="3" t="s">
        <v>142</v>
      </c>
      <c r="B30" s="12" t="s">
        <v>93</v>
      </c>
      <c r="C30" s="2"/>
      <c r="D30" s="61"/>
      <c r="E30" s="18"/>
      <c r="F30" s="231"/>
      <c r="G30" s="11">
        <f>757416</f>
        <v>757416</v>
      </c>
      <c r="H30" s="11"/>
      <c r="I30" s="11">
        <f>C30*3/100</f>
        <v>0</v>
      </c>
      <c r="J30" s="141">
        <f>(1.048*1.029)</f>
        <v>1.078392</v>
      </c>
      <c r="K30" s="11"/>
      <c r="L30" s="11"/>
      <c r="M30" s="103">
        <f>G30*1.048*1.029</f>
        <v>816791.355072</v>
      </c>
      <c r="N30" s="11"/>
      <c r="O30" s="11"/>
      <c r="P30" s="8" t="s">
        <v>74</v>
      </c>
      <c r="Q30" s="1" t="s">
        <v>5</v>
      </c>
      <c r="R30" s="1" t="s">
        <v>5</v>
      </c>
      <c r="S30" s="1">
        <v>1</v>
      </c>
      <c r="T30" s="1" t="s">
        <v>5</v>
      </c>
      <c r="U30" s="1" t="s">
        <v>5</v>
      </c>
      <c r="V30" s="1" t="s">
        <v>5</v>
      </c>
      <c r="W30" s="2">
        <f>M30*S30</f>
        <v>816791.355072</v>
      </c>
      <c r="X30" s="2"/>
      <c r="Y30" s="2"/>
    </row>
    <row r="31" spans="1:25" ht="31.5">
      <c r="A31" s="3" t="s">
        <v>143</v>
      </c>
      <c r="B31" s="12" t="s">
        <v>94</v>
      </c>
      <c r="C31" s="2"/>
      <c r="D31" s="61"/>
      <c r="E31" s="18"/>
      <c r="F31" s="231"/>
      <c r="G31" s="11">
        <f>757416</f>
        <v>757416</v>
      </c>
      <c r="H31" s="11"/>
      <c r="I31" s="11">
        <f>C31*3/100</f>
        <v>0</v>
      </c>
      <c r="J31" s="141">
        <f>(1.048*1.029)</f>
        <v>1.078392</v>
      </c>
      <c r="K31" s="11"/>
      <c r="L31" s="11"/>
      <c r="M31" s="103">
        <f>G31*1.048*1.029</f>
        <v>816791.355072</v>
      </c>
      <c r="N31" s="11"/>
      <c r="O31" s="11"/>
      <c r="P31" s="8" t="s">
        <v>74</v>
      </c>
      <c r="Q31" s="1" t="s">
        <v>5</v>
      </c>
      <c r="R31" s="1" t="s">
        <v>5</v>
      </c>
      <c r="S31" s="1">
        <v>0.4</v>
      </c>
      <c r="T31" s="1" t="s">
        <v>5</v>
      </c>
      <c r="U31" s="1" t="s">
        <v>5</v>
      </c>
      <c r="V31" s="1" t="s">
        <v>5</v>
      </c>
      <c r="W31" s="2">
        <f>M31*S31</f>
        <v>326716.5420288</v>
      </c>
      <c r="X31" s="2"/>
      <c r="Y31" s="2"/>
    </row>
    <row r="32" spans="1:25" ht="31.5">
      <c r="A32" s="3" t="s">
        <v>144</v>
      </c>
      <c r="B32" s="12" t="s">
        <v>23</v>
      </c>
      <c r="C32" s="2"/>
      <c r="D32" s="61"/>
      <c r="E32" s="18"/>
      <c r="F32" s="231"/>
      <c r="G32" s="2">
        <v>738346</v>
      </c>
      <c r="H32" s="2"/>
      <c r="I32" s="11">
        <f>C32*3/100</f>
        <v>0</v>
      </c>
      <c r="J32" s="141">
        <f>(1.048*1.029)</f>
        <v>1.078392</v>
      </c>
      <c r="K32" s="11"/>
      <c r="L32" s="11"/>
      <c r="M32" s="103">
        <f>G32*1.048*1.029</f>
        <v>796226.4196319999</v>
      </c>
      <c r="N32" s="11"/>
      <c r="O32" s="11"/>
      <c r="P32" s="10" t="s">
        <v>92</v>
      </c>
      <c r="Q32" s="1" t="s">
        <v>5</v>
      </c>
      <c r="R32" s="1" t="s">
        <v>5</v>
      </c>
      <c r="S32" s="1" t="s">
        <v>5</v>
      </c>
      <c r="T32" s="1" t="s">
        <v>5</v>
      </c>
      <c r="U32" s="1">
        <v>1.5</v>
      </c>
      <c r="V32" s="1" t="s">
        <v>5</v>
      </c>
      <c r="W32" s="2"/>
      <c r="X32" s="2">
        <f>M32*U32</f>
        <v>1194339.6294479999</v>
      </c>
      <c r="Y32" s="2"/>
    </row>
    <row r="33" spans="1:25" ht="19.5" customHeight="1">
      <c r="A33" s="298" t="s">
        <v>96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338"/>
      <c r="X33" s="338"/>
      <c r="Y33" s="339"/>
    </row>
    <row r="34" spans="1:25" ht="35.25" customHeight="1">
      <c r="A34" s="73" t="s">
        <v>145</v>
      </c>
      <c r="B34" s="13" t="s">
        <v>104</v>
      </c>
      <c r="C34" s="2"/>
      <c r="D34" s="61"/>
      <c r="E34" s="18" t="s">
        <v>10</v>
      </c>
      <c r="F34" s="271">
        <f>1*400*0.89</f>
        <v>356</v>
      </c>
      <c r="G34" s="2">
        <v>520800</v>
      </c>
      <c r="H34" s="2">
        <f>G34*13.7/100</f>
        <v>71349.6</v>
      </c>
      <c r="I34" s="2">
        <f>(G34-H34)*1/100</f>
        <v>4494.504</v>
      </c>
      <c r="J34" s="102"/>
      <c r="K34" s="141">
        <f aca="true" t="shared" si="3" ref="K34:K39">(1.048*1.058*1.031)</f>
        <v>1.143156304</v>
      </c>
      <c r="L34" s="2"/>
      <c r="M34" s="103"/>
      <c r="N34" s="103">
        <f aca="true" t="shared" si="4" ref="N34:N39">G34*1.048*1.058*1.031</f>
        <v>595355.8031232</v>
      </c>
      <c r="O34" s="2"/>
      <c r="P34" s="10" t="s">
        <v>100</v>
      </c>
      <c r="Q34" s="1">
        <v>1</v>
      </c>
      <c r="R34" s="1" t="s">
        <v>5</v>
      </c>
      <c r="S34" s="1" t="s">
        <v>5</v>
      </c>
      <c r="T34" s="1" t="s">
        <v>5</v>
      </c>
      <c r="U34" s="1" t="s">
        <v>5</v>
      </c>
      <c r="V34" s="1" t="s">
        <v>5</v>
      </c>
      <c r="W34" s="2"/>
      <c r="X34" s="2">
        <f>N34*Q34</f>
        <v>595355.8031232</v>
      </c>
      <c r="Y34" s="2"/>
    </row>
    <row r="35" spans="1:25" ht="51" customHeight="1">
      <c r="A35" s="3" t="s">
        <v>146</v>
      </c>
      <c r="B35" s="12" t="s">
        <v>98</v>
      </c>
      <c r="C35" s="2"/>
      <c r="D35" s="61"/>
      <c r="E35" s="18"/>
      <c r="F35" s="231"/>
      <c r="G35" s="11">
        <f>702602</f>
        <v>702602</v>
      </c>
      <c r="H35" s="11"/>
      <c r="I35" s="11">
        <f>C35*3/100</f>
        <v>0</v>
      </c>
      <c r="J35" s="102"/>
      <c r="K35" s="141">
        <f t="shared" si="3"/>
        <v>1.143156304</v>
      </c>
      <c r="L35" s="11"/>
      <c r="M35" s="103"/>
      <c r="N35" s="103">
        <f t="shared" si="4"/>
        <v>803183.905503008</v>
      </c>
      <c r="O35" s="11"/>
      <c r="P35" s="8" t="s">
        <v>16</v>
      </c>
      <c r="Q35" s="1" t="s">
        <v>5</v>
      </c>
      <c r="R35" s="1" t="s">
        <v>5</v>
      </c>
      <c r="S35" s="1">
        <v>1.2</v>
      </c>
      <c r="T35" s="1" t="s">
        <v>5</v>
      </c>
      <c r="U35" s="1" t="s">
        <v>5</v>
      </c>
      <c r="V35" s="1" t="s">
        <v>5</v>
      </c>
      <c r="W35" s="2"/>
      <c r="X35" s="2">
        <f>N35*S35</f>
        <v>963820.6866036096</v>
      </c>
      <c r="Y35" s="2"/>
    </row>
    <row r="36" spans="1:25" ht="39.75" customHeight="1">
      <c r="A36" s="73" t="s">
        <v>147</v>
      </c>
      <c r="B36" s="13" t="s">
        <v>105</v>
      </c>
      <c r="C36" s="2"/>
      <c r="D36" s="61"/>
      <c r="E36" s="18" t="s">
        <v>10</v>
      </c>
      <c r="F36" s="271">
        <f>1*400*0.89</f>
        <v>356</v>
      </c>
      <c r="G36" s="2">
        <v>520800</v>
      </c>
      <c r="H36" s="2">
        <f>G36*13.7/100</f>
        <v>71349.6</v>
      </c>
      <c r="I36" s="2">
        <f>(G36-H36)*1/100</f>
        <v>4494.504</v>
      </c>
      <c r="J36" s="102"/>
      <c r="K36" s="141">
        <f t="shared" si="3"/>
        <v>1.143156304</v>
      </c>
      <c r="L36" s="2"/>
      <c r="M36" s="103"/>
      <c r="N36" s="103">
        <f t="shared" si="4"/>
        <v>595355.8031232</v>
      </c>
      <c r="O36" s="2"/>
      <c r="P36" s="10" t="s">
        <v>100</v>
      </c>
      <c r="Q36" s="1">
        <v>1</v>
      </c>
      <c r="R36" s="1" t="s">
        <v>5</v>
      </c>
      <c r="S36" s="1" t="s">
        <v>5</v>
      </c>
      <c r="T36" s="1" t="s">
        <v>5</v>
      </c>
      <c r="U36" s="1" t="s">
        <v>5</v>
      </c>
      <c r="V36" s="1" t="s">
        <v>5</v>
      </c>
      <c r="W36" s="2"/>
      <c r="X36" s="2">
        <f>N36*Q36</f>
        <v>595355.8031232</v>
      </c>
      <c r="Y36" s="2"/>
    </row>
    <row r="37" spans="1:25" ht="54" customHeight="1">
      <c r="A37" s="3" t="s">
        <v>148</v>
      </c>
      <c r="B37" s="12" t="s">
        <v>101</v>
      </c>
      <c r="C37" s="2"/>
      <c r="D37" s="61"/>
      <c r="E37" s="18"/>
      <c r="F37" s="231"/>
      <c r="G37" s="11">
        <f>702602</f>
        <v>702602</v>
      </c>
      <c r="H37" s="11"/>
      <c r="I37" s="11">
        <f>C37*3/100</f>
        <v>0</v>
      </c>
      <c r="J37" s="102"/>
      <c r="K37" s="141">
        <f t="shared" si="3"/>
        <v>1.143156304</v>
      </c>
      <c r="L37" s="11"/>
      <c r="M37" s="103"/>
      <c r="N37" s="103">
        <f t="shared" si="4"/>
        <v>803183.905503008</v>
      </c>
      <c r="O37" s="11"/>
      <c r="P37" s="8" t="s">
        <v>16</v>
      </c>
      <c r="Q37" s="1" t="s">
        <v>5</v>
      </c>
      <c r="R37" s="1" t="s">
        <v>5</v>
      </c>
      <c r="S37" s="1">
        <v>0.4</v>
      </c>
      <c r="T37" s="1" t="s">
        <v>5</v>
      </c>
      <c r="U37" s="1" t="s">
        <v>5</v>
      </c>
      <c r="V37" s="1" t="s">
        <v>5</v>
      </c>
      <c r="W37" s="2"/>
      <c r="X37" s="2">
        <f>N37*S37</f>
        <v>321273.56220120325</v>
      </c>
      <c r="Y37" s="2"/>
    </row>
    <row r="38" spans="1:25" ht="39.75" customHeight="1">
      <c r="A38" s="3" t="s">
        <v>149</v>
      </c>
      <c r="B38" s="12" t="s">
        <v>102</v>
      </c>
      <c r="C38" s="2"/>
      <c r="D38" s="61"/>
      <c r="E38" s="18"/>
      <c r="F38" s="231"/>
      <c r="G38" s="11">
        <f>702602</f>
        <v>702602</v>
      </c>
      <c r="H38" s="11"/>
      <c r="I38" s="11">
        <f>C38*3/100</f>
        <v>0</v>
      </c>
      <c r="J38" s="102"/>
      <c r="K38" s="141">
        <f t="shared" si="3"/>
        <v>1.143156304</v>
      </c>
      <c r="L38" s="11"/>
      <c r="M38" s="103"/>
      <c r="N38" s="103">
        <f t="shared" si="4"/>
        <v>803183.905503008</v>
      </c>
      <c r="O38" s="11"/>
      <c r="P38" s="8" t="s">
        <v>16</v>
      </c>
      <c r="Q38" s="1" t="s">
        <v>5</v>
      </c>
      <c r="R38" s="1" t="s">
        <v>5</v>
      </c>
      <c r="S38" s="1">
        <v>0.5</v>
      </c>
      <c r="T38" s="1" t="s">
        <v>5</v>
      </c>
      <c r="U38" s="1" t="s">
        <v>5</v>
      </c>
      <c r="V38" s="1" t="s">
        <v>5</v>
      </c>
      <c r="W38" s="2"/>
      <c r="X38" s="2">
        <f>N38*S38</f>
        <v>401591.952751504</v>
      </c>
      <c r="Y38" s="2"/>
    </row>
    <row r="39" spans="1:25" ht="44.25" customHeight="1">
      <c r="A39" s="3" t="s">
        <v>150</v>
      </c>
      <c r="B39" s="12" t="s">
        <v>103</v>
      </c>
      <c r="C39" s="2"/>
      <c r="D39" s="61"/>
      <c r="E39" s="18"/>
      <c r="F39" s="231"/>
      <c r="G39" s="2">
        <v>738346</v>
      </c>
      <c r="H39" s="2"/>
      <c r="I39" s="11">
        <f>C39*3/100</f>
        <v>0</v>
      </c>
      <c r="J39" s="102"/>
      <c r="K39" s="141">
        <f t="shared" si="3"/>
        <v>1.143156304</v>
      </c>
      <c r="L39" s="11"/>
      <c r="M39" s="103"/>
      <c r="N39" s="103">
        <f t="shared" si="4"/>
        <v>844044.8844331839</v>
      </c>
      <c r="O39" s="11"/>
      <c r="P39" s="10" t="s">
        <v>92</v>
      </c>
      <c r="Q39" s="1" t="s">
        <v>5</v>
      </c>
      <c r="R39" s="1" t="s">
        <v>5</v>
      </c>
      <c r="S39" s="1" t="s">
        <v>5</v>
      </c>
      <c r="T39" s="1" t="s">
        <v>5</v>
      </c>
      <c r="U39" s="1">
        <v>2</v>
      </c>
      <c r="V39" s="1" t="s">
        <v>5</v>
      </c>
      <c r="W39" s="2"/>
      <c r="X39" s="2">
        <f>N39*U39</f>
        <v>1688089.7688663679</v>
      </c>
      <c r="Y39" s="2"/>
    </row>
    <row r="40" spans="1:25" ht="21" customHeight="1">
      <c r="A40" s="329" t="s">
        <v>285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257"/>
      <c r="X40" s="257"/>
      <c r="Y40" s="258"/>
    </row>
    <row r="41" spans="1:25" ht="21" customHeight="1">
      <c r="A41" s="256"/>
      <c r="B41" s="255"/>
      <c r="C41" s="255"/>
      <c r="D41" s="255"/>
      <c r="E41" s="255"/>
      <c r="F41" s="269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7"/>
      <c r="X41" s="257"/>
      <c r="Y41" s="258"/>
    </row>
    <row r="42" spans="1:25" ht="20.25" customHeight="1">
      <c r="A42" s="337" t="s">
        <v>0</v>
      </c>
      <c r="B42" s="324" t="s">
        <v>1</v>
      </c>
      <c r="C42" s="328" t="s">
        <v>215</v>
      </c>
      <c r="D42" s="328" t="s">
        <v>134</v>
      </c>
      <c r="E42" s="324" t="s">
        <v>99</v>
      </c>
      <c r="F42" s="324"/>
      <c r="G42" s="324" t="s">
        <v>228</v>
      </c>
      <c r="H42" s="324" t="s">
        <v>136</v>
      </c>
      <c r="I42" s="324" t="s">
        <v>135</v>
      </c>
      <c r="J42" s="325" t="s">
        <v>208</v>
      </c>
      <c r="K42" s="325" t="s">
        <v>209</v>
      </c>
      <c r="L42" s="325" t="s">
        <v>210</v>
      </c>
      <c r="M42" s="324" t="s">
        <v>211</v>
      </c>
      <c r="N42" s="324" t="s">
        <v>212</v>
      </c>
      <c r="O42" s="324" t="s">
        <v>213</v>
      </c>
      <c r="P42" s="324" t="s">
        <v>13</v>
      </c>
      <c r="Q42" s="324" t="s">
        <v>12</v>
      </c>
      <c r="R42" s="324"/>
      <c r="S42" s="324"/>
      <c r="T42" s="324"/>
      <c r="U42" s="324"/>
      <c r="V42" s="324"/>
      <c r="W42" s="331" t="s">
        <v>214</v>
      </c>
      <c r="X42" s="332"/>
      <c r="Y42" s="333"/>
    </row>
    <row r="43" spans="1:25" ht="32.25" customHeight="1">
      <c r="A43" s="308"/>
      <c r="B43" s="290"/>
      <c r="C43" s="328"/>
      <c r="D43" s="328"/>
      <c r="E43" s="290"/>
      <c r="F43" s="290"/>
      <c r="G43" s="290"/>
      <c r="H43" s="290"/>
      <c r="I43" s="290"/>
      <c r="J43" s="326"/>
      <c r="K43" s="326"/>
      <c r="L43" s="326"/>
      <c r="M43" s="290"/>
      <c r="N43" s="290"/>
      <c r="O43" s="290"/>
      <c r="P43" s="290"/>
      <c r="Q43" s="290" t="s">
        <v>8</v>
      </c>
      <c r="R43" s="290" t="s">
        <v>11</v>
      </c>
      <c r="S43" s="290" t="s">
        <v>7</v>
      </c>
      <c r="T43" s="290" t="s">
        <v>2</v>
      </c>
      <c r="U43" s="290" t="s">
        <v>3</v>
      </c>
      <c r="V43" s="290" t="s">
        <v>4</v>
      </c>
      <c r="W43" s="334"/>
      <c r="X43" s="335"/>
      <c r="Y43" s="336"/>
    </row>
    <row r="44" spans="1:25" ht="57.75" customHeight="1">
      <c r="A44" s="308"/>
      <c r="B44" s="290"/>
      <c r="C44" s="324"/>
      <c r="D44" s="324"/>
      <c r="E44" s="290"/>
      <c r="F44" s="290"/>
      <c r="G44" s="290"/>
      <c r="H44" s="290"/>
      <c r="I44" s="290"/>
      <c r="J44" s="326"/>
      <c r="K44" s="326"/>
      <c r="L44" s="326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4" t="s">
        <v>138</v>
      </c>
      <c r="X44" s="4" t="s">
        <v>139</v>
      </c>
      <c r="Y44" s="4" t="s">
        <v>140</v>
      </c>
    </row>
    <row r="45" spans="1:25" ht="19.5" customHeight="1">
      <c r="A45" s="298" t="s">
        <v>106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338"/>
      <c r="X45" s="338"/>
      <c r="Y45" s="339"/>
    </row>
    <row r="46" spans="1:25" ht="45.75" customHeight="1">
      <c r="A46" s="73" t="s">
        <v>151</v>
      </c>
      <c r="B46" s="13" t="s">
        <v>278</v>
      </c>
      <c r="C46" s="2"/>
      <c r="D46" s="61"/>
      <c r="E46" s="18" t="s">
        <v>10</v>
      </c>
      <c r="F46" s="271">
        <f>2*400*0.89</f>
        <v>712</v>
      </c>
      <c r="G46" s="2">
        <f>1592153*1.048</f>
        <v>1668576.344</v>
      </c>
      <c r="H46" s="2">
        <f>218481*1.048*1.029</f>
        <v>235608.162552</v>
      </c>
      <c r="I46" s="2">
        <f>(G46-H46)*1/100</f>
        <v>14329.68181448</v>
      </c>
      <c r="J46" s="2"/>
      <c r="K46" s="2"/>
      <c r="L46" s="141">
        <f aca="true" t="shared" si="5" ref="L46:L51">(1.048*1.058*1.062*1.019)</f>
        <v>1.199901651552</v>
      </c>
      <c r="M46" s="2"/>
      <c r="N46" s="2"/>
      <c r="O46" s="103">
        <f aca="true" t="shared" si="6" ref="O46:O51">G46*(1.048*1.058*1.062*1.019)</f>
        <v>2002127.510906198</v>
      </c>
      <c r="P46" s="10" t="s">
        <v>108</v>
      </c>
      <c r="Q46" s="1">
        <v>1</v>
      </c>
      <c r="R46" s="1" t="s">
        <v>5</v>
      </c>
      <c r="S46" s="1" t="s">
        <v>5</v>
      </c>
      <c r="T46" s="1" t="s">
        <v>5</v>
      </c>
      <c r="U46" s="1" t="s">
        <v>5</v>
      </c>
      <c r="V46" s="1" t="s">
        <v>5</v>
      </c>
      <c r="W46" s="2"/>
      <c r="X46" s="2"/>
      <c r="Y46" s="2">
        <f>O46*Q46</f>
        <v>2002127.510906198</v>
      </c>
    </row>
    <row r="47" spans="1:25" ht="51.75" customHeight="1">
      <c r="A47" s="3" t="s">
        <v>152</v>
      </c>
      <c r="B47" s="12" t="s">
        <v>107</v>
      </c>
      <c r="C47" s="2"/>
      <c r="D47" s="61"/>
      <c r="E47" s="18"/>
      <c r="F47" s="231"/>
      <c r="G47" s="11">
        <f>702602</f>
        <v>702602</v>
      </c>
      <c r="H47" s="11"/>
      <c r="I47" s="11">
        <f>C47*3/100</f>
        <v>0</v>
      </c>
      <c r="J47" s="11"/>
      <c r="K47" s="11"/>
      <c r="L47" s="141">
        <f t="shared" si="5"/>
        <v>1.199901651552</v>
      </c>
      <c r="M47" s="11"/>
      <c r="N47" s="11"/>
      <c r="O47" s="103">
        <f t="shared" si="6"/>
        <v>843053.3001837383</v>
      </c>
      <c r="P47" s="8" t="s">
        <v>16</v>
      </c>
      <c r="Q47" s="1" t="s">
        <v>5</v>
      </c>
      <c r="R47" s="1" t="s">
        <v>5</v>
      </c>
      <c r="S47" s="1">
        <v>1.15</v>
      </c>
      <c r="T47" s="1" t="s">
        <v>5</v>
      </c>
      <c r="U47" s="1" t="s">
        <v>5</v>
      </c>
      <c r="V47" s="1" t="s">
        <v>5</v>
      </c>
      <c r="W47" s="2"/>
      <c r="X47" s="2"/>
      <c r="Y47" s="2">
        <f>O47*S47</f>
        <v>969511.295211299</v>
      </c>
    </row>
    <row r="48" spans="1:25" ht="36.75" customHeight="1">
      <c r="A48" s="73" t="s">
        <v>153</v>
      </c>
      <c r="B48" s="13" t="s">
        <v>109</v>
      </c>
      <c r="C48" s="2"/>
      <c r="D48" s="61"/>
      <c r="E48" s="18" t="s">
        <v>10</v>
      </c>
      <c r="F48" s="271">
        <f>1*400*0.89</f>
        <v>356</v>
      </c>
      <c r="G48" s="2">
        <v>520800</v>
      </c>
      <c r="H48" s="2">
        <f>G48*13.7/100</f>
        <v>71349.6</v>
      </c>
      <c r="I48" s="2">
        <f>(G48-H48)*1/100</f>
        <v>4494.504</v>
      </c>
      <c r="J48" s="2"/>
      <c r="K48" s="2"/>
      <c r="L48" s="141">
        <f t="shared" si="5"/>
        <v>1.199901651552</v>
      </c>
      <c r="M48" s="2"/>
      <c r="N48" s="2"/>
      <c r="O48" s="103">
        <f t="shared" si="6"/>
        <v>624908.7801282816</v>
      </c>
      <c r="P48" s="10" t="s">
        <v>100</v>
      </c>
      <c r="Q48" s="1">
        <v>1</v>
      </c>
      <c r="R48" s="1" t="s">
        <v>5</v>
      </c>
      <c r="S48" s="1" t="s">
        <v>5</v>
      </c>
      <c r="T48" s="1" t="s">
        <v>5</v>
      </c>
      <c r="U48" s="1" t="s">
        <v>5</v>
      </c>
      <c r="V48" s="1" t="s">
        <v>5</v>
      </c>
      <c r="W48" s="2"/>
      <c r="X48" s="2"/>
      <c r="Y48" s="2">
        <f>O48*Q48</f>
        <v>624908.7801282816</v>
      </c>
    </row>
    <row r="49" spans="1:25" ht="31.5">
      <c r="A49" s="3" t="s">
        <v>154</v>
      </c>
      <c r="B49" s="12" t="s">
        <v>110</v>
      </c>
      <c r="C49" s="2"/>
      <c r="D49" s="61"/>
      <c r="E49" s="18"/>
      <c r="F49" s="231"/>
      <c r="G49" s="11">
        <f>702602</f>
        <v>702602</v>
      </c>
      <c r="H49" s="11"/>
      <c r="I49" s="11">
        <f>C49*3/100</f>
        <v>0</v>
      </c>
      <c r="J49" s="11"/>
      <c r="K49" s="11"/>
      <c r="L49" s="141">
        <f t="shared" si="5"/>
        <v>1.199901651552</v>
      </c>
      <c r="M49" s="11"/>
      <c r="N49" s="11"/>
      <c r="O49" s="103">
        <f t="shared" si="6"/>
        <v>843053.3001837383</v>
      </c>
      <c r="P49" s="8" t="s">
        <v>16</v>
      </c>
      <c r="Q49" s="1" t="s">
        <v>5</v>
      </c>
      <c r="R49" s="1" t="s">
        <v>5</v>
      </c>
      <c r="S49" s="1">
        <v>0.8</v>
      </c>
      <c r="T49" s="1" t="s">
        <v>5</v>
      </c>
      <c r="U49" s="1" t="s">
        <v>5</v>
      </c>
      <c r="V49" s="1" t="s">
        <v>5</v>
      </c>
      <c r="W49" s="2"/>
      <c r="X49" s="2"/>
      <c r="Y49" s="2">
        <f>O49*S49</f>
        <v>674442.6401469908</v>
      </c>
    </row>
    <row r="50" spans="1:25" ht="31.5">
      <c r="A50" s="3" t="s">
        <v>155</v>
      </c>
      <c r="B50" s="12" t="s">
        <v>111</v>
      </c>
      <c r="C50" s="2"/>
      <c r="D50" s="61"/>
      <c r="E50" s="18"/>
      <c r="F50" s="231"/>
      <c r="G50" s="11">
        <f>702602</f>
        <v>702602</v>
      </c>
      <c r="H50" s="11"/>
      <c r="I50" s="11">
        <f>C50*3/100</f>
        <v>0</v>
      </c>
      <c r="J50" s="11"/>
      <c r="K50" s="11"/>
      <c r="L50" s="141">
        <f t="shared" si="5"/>
        <v>1.199901651552</v>
      </c>
      <c r="M50" s="11"/>
      <c r="N50" s="11"/>
      <c r="O50" s="103">
        <f t="shared" si="6"/>
        <v>843053.3001837383</v>
      </c>
      <c r="P50" s="8" t="s">
        <v>16</v>
      </c>
      <c r="Q50" s="1" t="s">
        <v>5</v>
      </c>
      <c r="R50" s="1" t="s">
        <v>5</v>
      </c>
      <c r="S50" s="1">
        <v>0.2</v>
      </c>
      <c r="T50" s="1" t="s">
        <v>5</v>
      </c>
      <c r="U50" s="1" t="s">
        <v>5</v>
      </c>
      <c r="V50" s="1" t="s">
        <v>5</v>
      </c>
      <c r="W50" s="2"/>
      <c r="X50" s="2"/>
      <c r="Y50" s="2">
        <f>O50*S50</f>
        <v>168610.6600367477</v>
      </c>
    </row>
    <row r="51" spans="1:25" ht="31.5">
      <c r="A51" s="3" t="s">
        <v>156</v>
      </c>
      <c r="B51" s="12" t="s">
        <v>112</v>
      </c>
      <c r="C51" s="2"/>
      <c r="D51" s="61"/>
      <c r="E51" s="18"/>
      <c r="F51" s="231"/>
      <c r="G51" s="2">
        <v>738346</v>
      </c>
      <c r="H51" s="2"/>
      <c r="I51" s="11">
        <f>C51*3/100</f>
        <v>0</v>
      </c>
      <c r="J51" s="11"/>
      <c r="K51" s="11"/>
      <c r="L51" s="141">
        <f t="shared" si="5"/>
        <v>1.199901651552</v>
      </c>
      <c r="M51" s="11"/>
      <c r="N51" s="11"/>
      <c r="O51" s="103">
        <f t="shared" si="6"/>
        <v>885942.584816813</v>
      </c>
      <c r="P51" s="10" t="s">
        <v>92</v>
      </c>
      <c r="Q51" s="1" t="s">
        <v>5</v>
      </c>
      <c r="R51" s="1" t="s">
        <v>5</v>
      </c>
      <c r="S51" s="1" t="s">
        <v>5</v>
      </c>
      <c r="T51" s="1" t="s">
        <v>5</v>
      </c>
      <c r="U51" s="1">
        <v>1.2</v>
      </c>
      <c r="V51" s="1" t="s">
        <v>5</v>
      </c>
      <c r="W51" s="2"/>
      <c r="X51" s="2"/>
      <c r="Y51" s="2">
        <f>O51*U51</f>
        <v>1063131.1017801755</v>
      </c>
    </row>
    <row r="52" spans="1:25" ht="19.5" customHeight="1">
      <c r="A52" s="298" t="s">
        <v>113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338"/>
      <c r="X52" s="338"/>
      <c r="Y52" s="339"/>
    </row>
    <row r="53" spans="1:25" ht="31.5">
      <c r="A53" s="73" t="s">
        <v>157</v>
      </c>
      <c r="B53" s="13" t="s">
        <v>91</v>
      </c>
      <c r="C53" s="2"/>
      <c r="D53" s="61"/>
      <c r="E53" s="18" t="s">
        <v>10</v>
      </c>
      <c r="F53" s="271">
        <f>2*630*0.89</f>
        <v>1121.4</v>
      </c>
      <c r="G53" s="2">
        <v>2275837</v>
      </c>
      <c r="H53" s="2">
        <v>1816242</v>
      </c>
      <c r="I53" s="2">
        <f>(G53-H53)*1/100</f>
        <v>4595.95</v>
      </c>
      <c r="J53" s="2"/>
      <c r="K53" s="2"/>
      <c r="L53" s="141">
        <f>(1.048*1.058*1.062*1.019)</f>
        <v>1.199901651552</v>
      </c>
      <c r="M53" s="2"/>
      <c r="N53" s="2"/>
      <c r="O53" s="103">
        <f>G53*(1.048*1.058*1.062*1.019)</f>
        <v>2730780.574963149</v>
      </c>
      <c r="P53" s="10" t="s">
        <v>80</v>
      </c>
      <c r="Q53" s="1">
        <v>1</v>
      </c>
      <c r="R53" s="1" t="s">
        <v>5</v>
      </c>
      <c r="S53" s="1" t="s">
        <v>5</v>
      </c>
      <c r="T53" s="1" t="s">
        <v>5</v>
      </c>
      <c r="U53" s="1" t="s">
        <v>5</v>
      </c>
      <c r="V53" s="1" t="s">
        <v>5</v>
      </c>
      <c r="W53" s="2"/>
      <c r="X53" s="2"/>
      <c r="Y53" s="2">
        <f>O53*Q53</f>
        <v>2730780.574963149</v>
      </c>
    </row>
    <row r="54" spans="1:25" ht="31.5">
      <c r="A54" s="3" t="s">
        <v>158</v>
      </c>
      <c r="B54" s="12" t="s">
        <v>114</v>
      </c>
      <c r="C54" s="2"/>
      <c r="D54" s="61"/>
      <c r="E54" s="18"/>
      <c r="F54" s="231"/>
      <c r="G54" s="11">
        <f>757416</f>
        <v>757416</v>
      </c>
      <c r="H54" s="11"/>
      <c r="I54" s="11">
        <f>C54*3/100</f>
        <v>0</v>
      </c>
      <c r="J54" s="11"/>
      <c r="K54" s="11"/>
      <c r="L54" s="141">
        <f>(1.048*1.058*1.062*1.019)</f>
        <v>1.199901651552</v>
      </c>
      <c r="M54" s="11"/>
      <c r="N54" s="11"/>
      <c r="O54" s="103">
        <f>G54*(1.048*1.058*1.062*1.019)</f>
        <v>908824.7093119096</v>
      </c>
      <c r="P54" s="8" t="s">
        <v>74</v>
      </c>
      <c r="Q54" s="1" t="s">
        <v>5</v>
      </c>
      <c r="R54" s="1" t="s">
        <v>5</v>
      </c>
      <c r="S54" s="1">
        <v>1.1</v>
      </c>
      <c r="T54" s="1" t="s">
        <v>5</v>
      </c>
      <c r="U54" s="1" t="s">
        <v>5</v>
      </c>
      <c r="V54" s="1" t="s">
        <v>5</v>
      </c>
      <c r="W54" s="2"/>
      <c r="X54" s="2"/>
      <c r="Y54" s="2">
        <f>O54*S54</f>
        <v>999707.1802431006</v>
      </c>
    </row>
    <row r="55" spans="1:25" ht="31.5">
      <c r="A55" s="3" t="s">
        <v>159</v>
      </c>
      <c r="B55" s="12" t="s">
        <v>119</v>
      </c>
      <c r="C55" s="2"/>
      <c r="D55" s="61"/>
      <c r="E55" s="18"/>
      <c r="F55" s="231"/>
      <c r="G55" s="2">
        <f>945096</f>
        <v>945096</v>
      </c>
      <c r="H55" s="2"/>
      <c r="I55" s="11">
        <f>C55*3/100</f>
        <v>0</v>
      </c>
      <c r="J55" s="11"/>
      <c r="K55" s="11"/>
      <c r="L55" s="141">
        <f>(1.048*1.058*1.062*1.019)</f>
        <v>1.199901651552</v>
      </c>
      <c r="M55" s="11"/>
      <c r="N55" s="11"/>
      <c r="O55" s="103">
        <f>G55*(1.048*1.058*1.062*1.019)</f>
        <v>1134022.251275189</v>
      </c>
      <c r="P55" s="8" t="s">
        <v>17</v>
      </c>
      <c r="Q55" s="1" t="s">
        <v>5</v>
      </c>
      <c r="R55" s="1" t="s">
        <v>5</v>
      </c>
      <c r="S55" s="1" t="s">
        <v>5</v>
      </c>
      <c r="T55" s="1">
        <v>1</v>
      </c>
      <c r="U55" s="1" t="s">
        <v>5</v>
      </c>
      <c r="V55" s="1" t="s">
        <v>5</v>
      </c>
      <c r="W55" s="2"/>
      <c r="X55" s="2"/>
      <c r="Y55" s="2">
        <f>O55*T55</f>
        <v>1134022.251275189</v>
      </c>
    </row>
    <row r="56" spans="1:25" ht="19.5" customHeight="1">
      <c r="A56" s="298" t="s">
        <v>117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38"/>
      <c r="X56" s="338"/>
      <c r="Y56" s="339"/>
    </row>
    <row r="57" spans="1:25" ht="38.25" customHeight="1">
      <c r="A57" s="73" t="s">
        <v>160</v>
      </c>
      <c r="B57" s="13" t="s">
        <v>120</v>
      </c>
      <c r="C57" s="2"/>
      <c r="D57" s="61"/>
      <c r="E57" s="18" t="s">
        <v>10</v>
      </c>
      <c r="F57" s="231">
        <f>400*0.89*Q57</f>
        <v>356</v>
      </c>
      <c r="G57" s="2">
        <v>458782</v>
      </c>
      <c r="H57" s="2">
        <f>G57*13.7/100</f>
        <v>62853.13399999999</v>
      </c>
      <c r="I57" s="2">
        <f>(G57-H57)*1/100</f>
        <v>3959.28866</v>
      </c>
      <c r="J57" s="102"/>
      <c r="K57" s="141">
        <f>(1.048*1.058*1.031)</f>
        <v>1.143156304</v>
      </c>
      <c r="L57" s="102"/>
      <c r="M57" s="11"/>
      <c r="N57" s="103">
        <f>G57*1.048*1.058*1.031</f>
        <v>524459.535461728</v>
      </c>
      <c r="O57" s="2"/>
      <c r="P57" s="10" t="s">
        <v>100</v>
      </c>
      <c r="Q57" s="1">
        <v>1</v>
      </c>
      <c r="R57" s="1" t="s">
        <v>5</v>
      </c>
      <c r="S57" s="1" t="s">
        <v>5</v>
      </c>
      <c r="T57" s="1" t="s">
        <v>5</v>
      </c>
      <c r="U57" s="1" t="s">
        <v>5</v>
      </c>
      <c r="V57" s="1" t="s">
        <v>5</v>
      </c>
      <c r="W57" s="2"/>
      <c r="X57" s="2">
        <f>N57*Q57</f>
        <v>524459.535461728</v>
      </c>
      <c r="Y57" s="2"/>
    </row>
    <row r="58" spans="1:25" ht="46.5" customHeight="1">
      <c r="A58" s="3" t="s">
        <v>161</v>
      </c>
      <c r="B58" s="12" t="s">
        <v>118</v>
      </c>
      <c r="C58" s="2"/>
      <c r="D58" s="61"/>
      <c r="E58" s="18"/>
      <c r="F58" s="231"/>
      <c r="G58" s="11">
        <f>702602</f>
        <v>702602</v>
      </c>
      <c r="H58" s="11"/>
      <c r="I58" s="11">
        <f>C58*3/100</f>
        <v>0</v>
      </c>
      <c r="J58" s="102"/>
      <c r="K58" s="141">
        <f>(1.048*1.058*1.031)</f>
        <v>1.143156304</v>
      </c>
      <c r="L58" s="102"/>
      <c r="M58" s="11"/>
      <c r="N58" s="103">
        <f>G58*1.048*1.058*1.031</f>
        <v>803183.905503008</v>
      </c>
      <c r="O58" s="11"/>
      <c r="P58" s="8" t="s">
        <v>16</v>
      </c>
      <c r="Q58" s="1" t="s">
        <v>5</v>
      </c>
      <c r="R58" s="1" t="s">
        <v>5</v>
      </c>
      <c r="S58" s="1">
        <v>2.7</v>
      </c>
      <c r="T58" s="1" t="s">
        <v>5</v>
      </c>
      <c r="U58" s="1" t="s">
        <v>5</v>
      </c>
      <c r="V58" s="1" t="s">
        <v>5</v>
      </c>
      <c r="W58" s="2"/>
      <c r="X58" s="2">
        <f>N58*S58</f>
        <v>2168596.544858122</v>
      </c>
      <c r="Y58" s="2"/>
    </row>
    <row r="59" spans="1:25" ht="43.5" customHeight="1">
      <c r="A59" s="73" t="s">
        <v>162</v>
      </c>
      <c r="B59" s="13" t="s">
        <v>97</v>
      </c>
      <c r="C59" s="2"/>
      <c r="D59" s="61"/>
      <c r="E59" s="18" t="s">
        <v>10</v>
      </c>
      <c r="F59" s="231">
        <f>400*0.89*Q59</f>
        <v>356</v>
      </c>
      <c r="G59" s="2">
        <v>458782</v>
      </c>
      <c r="H59" s="2">
        <f>G59*13.7/100</f>
        <v>62853.13399999999</v>
      </c>
      <c r="I59" s="2">
        <f>(G59-H59)*1/100</f>
        <v>3959.28866</v>
      </c>
      <c r="J59" s="102"/>
      <c r="K59" s="141">
        <f>(1.048*1.058*1.031)</f>
        <v>1.143156304</v>
      </c>
      <c r="L59" s="102"/>
      <c r="M59" s="11"/>
      <c r="N59" s="103">
        <f>G59*1.048*1.058*1.031</f>
        <v>524459.535461728</v>
      </c>
      <c r="O59" s="2"/>
      <c r="P59" s="10" t="s">
        <v>100</v>
      </c>
      <c r="Q59" s="1">
        <v>1</v>
      </c>
      <c r="R59" s="1" t="s">
        <v>5</v>
      </c>
      <c r="S59" s="1" t="s">
        <v>5</v>
      </c>
      <c r="T59" s="1" t="s">
        <v>5</v>
      </c>
      <c r="U59" s="1" t="s">
        <v>5</v>
      </c>
      <c r="V59" s="1" t="s">
        <v>5</v>
      </c>
      <c r="W59" s="2"/>
      <c r="X59" s="2">
        <f>N59*Q59</f>
        <v>524459.535461728</v>
      </c>
      <c r="Y59" s="2"/>
    </row>
    <row r="60" spans="1:25" ht="18" customHeight="1">
      <c r="A60" s="329" t="s">
        <v>286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231"/>
      <c r="X60" s="2"/>
      <c r="Y60" s="2"/>
    </row>
    <row r="61" spans="1:25" ht="18.75">
      <c r="A61" s="256"/>
      <c r="B61" s="255"/>
      <c r="C61" s="255"/>
      <c r="D61" s="255"/>
      <c r="E61" s="255"/>
      <c r="F61" s="269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31"/>
      <c r="X61" s="2"/>
      <c r="Y61" s="2"/>
    </row>
    <row r="62" spans="1:25" ht="15.75" customHeight="1">
      <c r="A62" s="308" t="s">
        <v>0</v>
      </c>
      <c r="B62" s="290" t="s">
        <v>1</v>
      </c>
      <c r="C62" s="327" t="s">
        <v>215</v>
      </c>
      <c r="D62" s="327" t="s">
        <v>134</v>
      </c>
      <c r="E62" s="290" t="s">
        <v>99</v>
      </c>
      <c r="F62" s="290"/>
      <c r="G62" s="290" t="s">
        <v>228</v>
      </c>
      <c r="H62" s="290" t="s">
        <v>136</v>
      </c>
      <c r="I62" s="290" t="s">
        <v>135</v>
      </c>
      <c r="J62" s="326" t="s">
        <v>208</v>
      </c>
      <c r="K62" s="326" t="s">
        <v>209</v>
      </c>
      <c r="L62" s="326" t="s">
        <v>210</v>
      </c>
      <c r="M62" s="290" t="s">
        <v>211</v>
      </c>
      <c r="N62" s="290" t="s">
        <v>212</v>
      </c>
      <c r="O62" s="290" t="s">
        <v>213</v>
      </c>
      <c r="P62" s="290" t="s">
        <v>13</v>
      </c>
      <c r="Q62" s="290" t="s">
        <v>12</v>
      </c>
      <c r="R62" s="290"/>
      <c r="S62" s="290"/>
      <c r="T62" s="290"/>
      <c r="U62" s="290"/>
      <c r="V62" s="290"/>
      <c r="W62" s="2"/>
      <c r="X62" s="2"/>
      <c r="Y62" s="2"/>
    </row>
    <row r="63" spans="1:25" ht="36" customHeight="1">
      <c r="A63" s="308"/>
      <c r="B63" s="290"/>
      <c r="C63" s="328"/>
      <c r="D63" s="328"/>
      <c r="E63" s="290"/>
      <c r="F63" s="290"/>
      <c r="G63" s="290"/>
      <c r="H63" s="290"/>
      <c r="I63" s="290"/>
      <c r="J63" s="326"/>
      <c r="K63" s="326"/>
      <c r="L63" s="326"/>
      <c r="M63" s="290"/>
      <c r="N63" s="290"/>
      <c r="O63" s="290"/>
      <c r="P63" s="290"/>
      <c r="Q63" s="290" t="s">
        <v>8</v>
      </c>
      <c r="R63" s="290" t="s">
        <v>11</v>
      </c>
      <c r="S63" s="290" t="s">
        <v>7</v>
      </c>
      <c r="T63" s="290" t="s">
        <v>2</v>
      </c>
      <c r="U63" s="290" t="s">
        <v>3</v>
      </c>
      <c r="V63" s="290" t="s">
        <v>4</v>
      </c>
      <c r="W63" s="2"/>
      <c r="X63" s="2"/>
      <c r="Y63" s="2"/>
    </row>
    <row r="64" spans="1:25" ht="60" customHeight="1">
      <c r="A64" s="308"/>
      <c r="B64" s="290"/>
      <c r="C64" s="324"/>
      <c r="D64" s="324"/>
      <c r="E64" s="290"/>
      <c r="F64" s="290"/>
      <c r="G64" s="290"/>
      <c r="H64" s="290"/>
      <c r="I64" s="290"/>
      <c r="J64" s="326"/>
      <c r="K64" s="326"/>
      <c r="L64" s="326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"/>
      <c r="X64" s="2"/>
      <c r="Y64" s="2"/>
    </row>
    <row r="65" spans="1:26" ht="47.25">
      <c r="A65" s="3" t="s">
        <v>163</v>
      </c>
      <c r="B65" s="12" t="s">
        <v>137</v>
      </c>
      <c r="C65" s="2"/>
      <c r="D65" s="61"/>
      <c r="E65" s="18"/>
      <c r="F65" s="231"/>
      <c r="G65" s="11">
        <f>702602</f>
        <v>702602</v>
      </c>
      <c r="H65" s="11"/>
      <c r="I65" s="11">
        <f>C65*3/100</f>
        <v>0</v>
      </c>
      <c r="J65" s="102"/>
      <c r="K65" s="141">
        <f>(1.048*1.058*1.031)</f>
        <v>1.143156304</v>
      </c>
      <c r="L65" s="102"/>
      <c r="M65" s="11"/>
      <c r="N65" s="103">
        <f>G65*1.048*1.058*1.031</f>
        <v>803183.905503008</v>
      </c>
      <c r="O65" s="11"/>
      <c r="P65" s="8" t="s">
        <v>16</v>
      </c>
      <c r="Q65" s="1" t="s">
        <v>5</v>
      </c>
      <c r="R65" s="1" t="s">
        <v>5</v>
      </c>
      <c r="S65" s="1">
        <v>0.3</v>
      </c>
      <c r="T65" s="1" t="s">
        <v>5</v>
      </c>
      <c r="U65" s="1" t="s">
        <v>5</v>
      </c>
      <c r="V65" s="1" t="s">
        <v>5</v>
      </c>
      <c r="W65" s="2"/>
      <c r="X65" s="2">
        <f>N65*S65</f>
        <v>240955.1716509024</v>
      </c>
      <c r="Y65" s="2"/>
      <c r="Z65" s="76"/>
    </row>
    <row r="66" spans="1:26" ht="15.75">
      <c r="A66" s="298" t="s">
        <v>281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1"/>
      <c r="W66" s="2"/>
      <c r="X66" s="2"/>
      <c r="Y66" s="2"/>
      <c r="Z66" s="76"/>
    </row>
    <row r="67" spans="1:25" ht="15.75">
      <c r="A67" s="246" t="s">
        <v>164</v>
      </c>
      <c r="B67" s="247" t="s">
        <v>282</v>
      </c>
      <c r="C67" s="2"/>
      <c r="D67" s="61"/>
      <c r="E67" s="18" t="s">
        <v>221</v>
      </c>
      <c r="F67" s="231">
        <f>2*1000*0.89</f>
        <v>1780</v>
      </c>
      <c r="G67" s="11">
        <v>3259474</v>
      </c>
      <c r="H67" s="2">
        <v>2034191</v>
      </c>
      <c r="I67" s="2">
        <f>(G67-H67)*1/100</f>
        <v>12252.83</v>
      </c>
      <c r="J67" s="102"/>
      <c r="K67" s="141">
        <f>(1.048*1.058*1.031)</f>
        <v>1.143156304</v>
      </c>
      <c r="L67" s="102"/>
      <c r="M67" s="11"/>
      <c r="N67" s="103">
        <f>G67*1.048*1.058*1.031</f>
        <v>3726088.250824096</v>
      </c>
      <c r="O67" s="2"/>
      <c r="P67" s="8"/>
      <c r="Q67" s="1"/>
      <c r="R67" s="1"/>
      <c r="S67" s="1"/>
      <c r="T67" s="1"/>
      <c r="U67" s="1"/>
      <c r="V67" s="1"/>
      <c r="W67" s="2"/>
      <c r="X67" s="2"/>
      <c r="Y67" s="2">
        <f>N67</f>
        <v>3726088.250824096</v>
      </c>
    </row>
    <row r="68" spans="1:25" s="60" customFormat="1" ht="15.75">
      <c r="A68" s="71"/>
      <c r="B68" s="13" t="s">
        <v>133</v>
      </c>
      <c r="C68" s="83"/>
      <c r="D68" s="63"/>
      <c r="E68" s="59"/>
      <c r="F68" s="272"/>
      <c r="G68" s="66">
        <v>857749</v>
      </c>
      <c r="H68" s="65"/>
      <c r="I68" s="11"/>
      <c r="J68" s="11"/>
      <c r="K68" s="11"/>
      <c r="L68" s="141">
        <f>(1.048*1.058*1.062*1.019)</f>
        <v>1.199901651552</v>
      </c>
      <c r="M68" s="11"/>
      <c r="N68" s="11"/>
      <c r="O68" s="103">
        <f>G68*(1.048*1.058*1.062*1.019)-271684</f>
        <v>757530.4417170765</v>
      </c>
      <c r="P68" s="40"/>
      <c r="Q68" s="40"/>
      <c r="R68" s="40"/>
      <c r="S68" s="40"/>
      <c r="T68" s="82">
        <f>T55</f>
        <v>1</v>
      </c>
      <c r="U68" s="54"/>
      <c r="V68" s="82">
        <f>SUM(V13:V67)</f>
        <v>0</v>
      </c>
      <c r="W68" s="81"/>
      <c r="X68" s="81"/>
      <c r="Y68" s="150">
        <f>O68</f>
        <v>757530.4417170765</v>
      </c>
    </row>
    <row r="69" spans="1:28" ht="15.75">
      <c r="A69" s="3"/>
      <c r="B69" s="13" t="s">
        <v>128</v>
      </c>
      <c r="C69" s="5">
        <f>SUM(C9:C68)</f>
        <v>0</v>
      </c>
      <c r="D69" s="62"/>
      <c r="E69" s="18"/>
      <c r="F69" s="231"/>
      <c r="G69" s="11"/>
      <c r="H69" s="11"/>
      <c r="I69" s="5">
        <f>SUM(I9:I68)</f>
        <v>119908.90753448001</v>
      </c>
      <c r="J69" s="5"/>
      <c r="K69" s="5"/>
      <c r="L69" s="5"/>
      <c r="M69" s="5"/>
      <c r="N69" s="5"/>
      <c r="O69" s="5"/>
      <c r="P69" s="8"/>
      <c r="Q69" s="1"/>
      <c r="R69" s="1"/>
      <c r="S69" s="1"/>
      <c r="T69" s="1"/>
      <c r="U69" s="1"/>
      <c r="V69" s="1"/>
      <c r="W69" s="5">
        <f>SUM(W9:W68)</f>
        <v>18960697.65242926</v>
      </c>
      <c r="X69" s="5">
        <f>SUM(X9:X68)</f>
        <v>16629120.130006775</v>
      </c>
      <c r="Y69" s="5">
        <f>SUM(Y9:Y68)</f>
        <v>14850860.687232304</v>
      </c>
      <c r="Z69" s="70"/>
      <c r="AA69" s="70"/>
      <c r="AB69" s="70"/>
    </row>
    <row r="70" spans="1:25" ht="15.75">
      <c r="A70" s="30"/>
      <c r="B70" s="37" t="s">
        <v>6</v>
      </c>
      <c r="C70" s="57"/>
      <c r="D70" s="61"/>
      <c r="E70" s="95"/>
      <c r="F70" s="258"/>
      <c r="G70" s="2"/>
      <c r="H70" s="2"/>
      <c r="I70" s="2"/>
      <c r="J70" s="141">
        <f>(1.048*1.029)</f>
        <v>1.078392</v>
      </c>
      <c r="K70" s="141">
        <f>(1.048*1.058*1.031)</f>
        <v>1.143156304</v>
      </c>
      <c r="L70" s="141">
        <f>(1.048*1.058*1.062*1.019)</f>
        <v>1.199901651552</v>
      </c>
      <c r="M70" s="2">
        <v>169940</v>
      </c>
      <c r="N70" s="2">
        <v>131952</v>
      </c>
      <c r="O70" s="103">
        <v>168799</v>
      </c>
      <c r="P70" s="8"/>
      <c r="Q70" s="1"/>
      <c r="R70" s="1"/>
      <c r="S70" s="1"/>
      <c r="T70" s="1"/>
      <c r="U70" s="1"/>
      <c r="V70" s="1"/>
      <c r="W70" s="2">
        <f>'титул ПРОЕКТНЫЕ'!J53-200000-50000</f>
        <v>169939.55618398578</v>
      </c>
      <c r="X70" s="2">
        <f>'титул ПРОЕКТНЫЕ'!K53-150000</f>
        <v>131951.83302756847</v>
      </c>
      <c r="Y70" s="2">
        <f>'титул ПРОЕКТНЫЕ'!L53-200000</f>
        <v>168799.0691722266</v>
      </c>
    </row>
    <row r="71" spans="1:26" s="239" customFormat="1" ht="31.5">
      <c r="A71" s="73"/>
      <c r="B71" s="13" t="s">
        <v>283</v>
      </c>
      <c r="C71" s="237"/>
      <c r="D71" s="238"/>
      <c r="E71" s="35" t="str">
        <f>E67</f>
        <v>560,7/</v>
      </c>
      <c r="F71" s="273">
        <f>SUM(F9:F69)</f>
        <v>9852.3</v>
      </c>
      <c r="G71" s="237">
        <f>W71+X71+Y71</f>
        <v>50911368.92805213</v>
      </c>
      <c r="H71" s="237"/>
      <c r="I71" s="237"/>
      <c r="J71" s="149" t="s">
        <v>204</v>
      </c>
      <c r="K71" s="237"/>
      <c r="L71" s="237"/>
      <c r="M71" s="237"/>
      <c r="N71" s="237"/>
      <c r="O71" s="237"/>
      <c r="P71" s="9"/>
      <c r="Q71" s="240">
        <f>SUM(Q9:Q69)</f>
        <v>17</v>
      </c>
      <c r="R71" s="4">
        <f>SUM(R9:R69)</f>
        <v>0</v>
      </c>
      <c r="S71" s="4">
        <f>SUM(S9:S69)</f>
        <v>16.25</v>
      </c>
      <c r="T71" s="240">
        <f>T68</f>
        <v>1</v>
      </c>
      <c r="U71" s="99">
        <f>SUM(U9:U69)</f>
        <v>16.7</v>
      </c>
      <c r="V71" s="251">
        <v>0</v>
      </c>
      <c r="W71" s="237">
        <f>W69+W70</f>
        <v>19130637.208613247</v>
      </c>
      <c r="X71" s="237">
        <f>X69+X70</f>
        <v>16761071.963034343</v>
      </c>
      <c r="Y71" s="237">
        <f>Y69+Y70</f>
        <v>15019659.75640453</v>
      </c>
      <c r="Z71" s="262"/>
    </row>
    <row r="72" spans="1:25" ht="24.75" customHeight="1">
      <c r="A72" s="317" t="s">
        <v>229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56"/>
      <c r="X72" s="356"/>
      <c r="Y72" s="357"/>
    </row>
    <row r="73" spans="1:25" ht="5.25" customHeight="1">
      <c r="A73" s="259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260"/>
    </row>
    <row r="74" spans="1:25" ht="19.5" customHeight="1">
      <c r="A74" s="298" t="s">
        <v>59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338"/>
      <c r="X74" s="338"/>
      <c r="Y74" s="339"/>
    </row>
    <row r="75" spans="1:27" ht="33" customHeight="1">
      <c r="A75" s="75" t="s">
        <v>165</v>
      </c>
      <c r="B75" s="17" t="s">
        <v>292</v>
      </c>
      <c r="C75" s="2"/>
      <c r="D75" s="61"/>
      <c r="E75" s="33" t="s">
        <v>10</v>
      </c>
      <c r="F75" s="274">
        <f>63*0.89</f>
        <v>56.07</v>
      </c>
      <c r="G75" s="2">
        <v>303090</v>
      </c>
      <c r="H75" s="2">
        <f>G75*20/100</f>
        <v>60618</v>
      </c>
      <c r="I75" s="11">
        <f>C75*1/100</f>
        <v>0</v>
      </c>
      <c r="J75" s="141">
        <f>(1.048*1.029)</f>
        <v>1.078392</v>
      </c>
      <c r="K75" s="11"/>
      <c r="L75" s="11"/>
      <c r="M75" s="103">
        <v>326230.92</v>
      </c>
      <c r="N75" s="11"/>
      <c r="O75" s="11"/>
      <c r="P75" s="3" t="s">
        <v>87</v>
      </c>
      <c r="Q75" s="1">
        <v>1</v>
      </c>
      <c r="R75" s="1" t="s">
        <v>5</v>
      </c>
      <c r="S75" s="1" t="s">
        <v>5</v>
      </c>
      <c r="T75" s="1" t="s">
        <v>5</v>
      </c>
      <c r="U75" s="1" t="s">
        <v>5</v>
      </c>
      <c r="V75" s="1" t="s">
        <v>5</v>
      </c>
      <c r="W75" s="2">
        <f>M75*Q75</f>
        <v>326230.92</v>
      </c>
      <c r="X75" s="2"/>
      <c r="Y75" s="2"/>
      <c r="AA75" s="85"/>
    </row>
    <row r="76" spans="1:25" ht="31.5">
      <c r="A76" s="3" t="s">
        <v>179</v>
      </c>
      <c r="B76" s="16" t="s">
        <v>271</v>
      </c>
      <c r="C76" s="2"/>
      <c r="D76" s="61"/>
      <c r="E76" s="30"/>
      <c r="F76" s="34"/>
      <c r="G76" s="2">
        <f>702602</f>
        <v>702602</v>
      </c>
      <c r="H76" s="2"/>
      <c r="I76" s="11">
        <f aca="true" t="shared" si="7" ref="I76:I89">C76*3/100</f>
        <v>0</v>
      </c>
      <c r="J76" s="141">
        <f>(1.048*1.029)</f>
        <v>1.078392</v>
      </c>
      <c r="K76" s="11"/>
      <c r="L76" s="11"/>
      <c r="M76" s="103">
        <v>756245.66</v>
      </c>
      <c r="N76" s="11"/>
      <c r="O76" s="11"/>
      <c r="P76" s="3" t="s">
        <v>16</v>
      </c>
      <c r="Q76" s="1" t="s">
        <v>5</v>
      </c>
      <c r="R76" s="1" t="s">
        <v>5</v>
      </c>
      <c r="S76" s="1">
        <v>0.5</v>
      </c>
      <c r="T76" s="1" t="s">
        <v>5</v>
      </c>
      <c r="U76" s="1" t="s">
        <v>5</v>
      </c>
      <c r="V76" s="1" t="s">
        <v>5</v>
      </c>
      <c r="W76" s="2">
        <f>M76*S76</f>
        <v>378122.83</v>
      </c>
      <c r="X76" s="2"/>
      <c r="Y76" s="2"/>
    </row>
    <row r="77" spans="1:25" ht="31.5">
      <c r="A77" s="3" t="s">
        <v>166</v>
      </c>
      <c r="B77" s="16" t="s">
        <v>84</v>
      </c>
      <c r="C77" s="2"/>
      <c r="D77" s="61"/>
      <c r="E77" s="33" t="s">
        <v>10</v>
      </c>
      <c r="F77" s="275">
        <v>15</v>
      </c>
      <c r="G77" s="2">
        <v>784377</v>
      </c>
      <c r="H77" s="2"/>
      <c r="I77" s="11">
        <f t="shared" si="7"/>
        <v>0</v>
      </c>
      <c r="J77" s="141">
        <f>(1.048*1.029)</f>
        <v>1.078392</v>
      </c>
      <c r="K77" s="11"/>
      <c r="L77" s="11"/>
      <c r="M77" s="103">
        <v>844264.18</v>
      </c>
      <c r="N77" s="11"/>
      <c r="O77" s="11"/>
      <c r="P77" s="3" t="s">
        <v>85</v>
      </c>
      <c r="Q77" s="1" t="s">
        <v>5</v>
      </c>
      <c r="R77" s="1" t="s">
        <v>5</v>
      </c>
      <c r="S77" s="1" t="s">
        <v>5</v>
      </c>
      <c r="T77" s="1" t="s">
        <v>5</v>
      </c>
      <c r="U77" s="1" t="s">
        <v>5</v>
      </c>
      <c r="V77" s="1">
        <v>0.26</v>
      </c>
      <c r="W77" s="2">
        <f>M77*V77</f>
        <v>219508.68680000002</v>
      </c>
      <c r="X77" s="2"/>
      <c r="Y77" s="2"/>
    </row>
    <row r="78" spans="1:25" ht="47.25">
      <c r="A78" s="3" t="s">
        <v>167</v>
      </c>
      <c r="B78" s="16" t="s">
        <v>83</v>
      </c>
      <c r="C78" s="2"/>
      <c r="D78" s="61"/>
      <c r="E78" s="33" t="s">
        <v>10</v>
      </c>
      <c r="F78" s="275">
        <v>15</v>
      </c>
      <c r="G78" s="2">
        <f>546266</f>
        <v>546266</v>
      </c>
      <c r="H78" s="2"/>
      <c r="I78" s="11">
        <f t="shared" si="7"/>
        <v>0</v>
      </c>
      <c r="J78" s="141">
        <f>(1.048*1.029)</f>
        <v>1.078392</v>
      </c>
      <c r="K78" s="11"/>
      <c r="L78" s="11"/>
      <c r="M78" s="103">
        <v>587973.41</v>
      </c>
      <c r="N78" s="11"/>
      <c r="O78" s="11"/>
      <c r="P78" s="3" t="s">
        <v>86</v>
      </c>
      <c r="Q78" s="1" t="s">
        <v>5</v>
      </c>
      <c r="R78" s="1" t="s">
        <v>5</v>
      </c>
      <c r="S78" s="1" t="s">
        <v>5</v>
      </c>
      <c r="T78" s="1" t="s">
        <v>5</v>
      </c>
      <c r="U78" s="1">
        <v>0.5</v>
      </c>
      <c r="V78" s="1" t="s">
        <v>5</v>
      </c>
      <c r="W78" s="2">
        <f>M78*U78</f>
        <v>293986.705</v>
      </c>
      <c r="X78" s="2"/>
      <c r="Y78" s="2"/>
    </row>
    <row r="79" spans="1:26" ht="47.25">
      <c r="A79" s="3" t="s">
        <v>168</v>
      </c>
      <c r="B79" s="16" t="s">
        <v>67</v>
      </c>
      <c r="C79" s="2"/>
      <c r="D79" s="61"/>
      <c r="E79" s="33" t="s">
        <v>10</v>
      </c>
      <c r="F79" s="275">
        <v>15</v>
      </c>
      <c r="G79" s="2">
        <v>738346</v>
      </c>
      <c r="H79" s="2"/>
      <c r="I79" s="11">
        <f t="shared" si="7"/>
        <v>0</v>
      </c>
      <c r="J79" s="11"/>
      <c r="K79" s="141">
        <f>(1.048*1.058*1.031)</f>
        <v>1.143156304</v>
      </c>
      <c r="L79" s="102"/>
      <c r="M79" s="11"/>
      <c r="N79" s="103">
        <f>G79*1.048*1.058*1.031</f>
        <v>844044.8844331839</v>
      </c>
      <c r="O79" s="11"/>
      <c r="P79" s="3" t="s">
        <v>88</v>
      </c>
      <c r="Q79" s="1" t="s">
        <v>5</v>
      </c>
      <c r="R79" s="1" t="s">
        <v>5</v>
      </c>
      <c r="S79" s="1" t="s">
        <v>5</v>
      </c>
      <c r="T79" s="1" t="s">
        <v>5</v>
      </c>
      <c r="U79" s="1">
        <v>0.16</v>
      </c>
      <c r="V79" s="1" t="s">
        <v>5</v>
      </c>
      <c r="W79" s="2"/>
      <c r="X79" s="2">
        <f>N79*U79</f>
        <v>135047.18150930942</v>
      </c>
      <c r="Y79" s="2"/>
      <c r="Z79" s="76"/>
    </row>
    <row r="80" spans="1:26" ht="47.25">
      <c r="A80" s="3" t="s">
        <v>169</v>
      </c>
      <c r="B80" s="16" t="s">
        <v>68</v>
      </c>
      <c r="C80" s="2"/>
      <c r="D80" s="61"/>
      <c r="E80" s="33" t="s">
        <v>10</v>
      </c>
      <c r="F80" s="275">
        <v>15</v>
      </c>
      <c r="G80" s="2">
        <v>738346</v>
      </c>
      <c r="H80" s="2"/>
      <c r="I80" s="11">
        <f t="shared" si="7"/>
        <v>0</v>
      </c>
      <c r="J80" s="11"/>
      <c r="K80" s="141">
        <f>(1.048*1.058*1.031)</f>
        <v>1.143156304</v>
      </c>
      <c r="L80" s="102"/>
      <c r="M80" s="11"/>
      <c r="N80" s="103">
        <f>G80*1.048*1.058*1.031</f>
        <v>844044.8844331839</v>
      </c>
      <c r="O80" s="11"/>
      <c r="P80" s="3" t="s">
        <v>88</v>
      </c>
      <c r="Q80" s="1" t="s">
        <v>5</v>
      </c>
      <c r="R80" s="1" t="s">
        <v>5</v>
      </c>
      <c r="S80" s="1" t="s">
        <v>5</v>
      </c>
      <c r="T80" s="1" t="s">
        <v>5</v>
      </c>
      <c r="U80" s="1">
        <v>0.12</v>
      </c>
      <c r="V80" s="1" t="s">
        <v>5</v>
      </c>
      <c r="W80" s="2"/>
      <c r="X80" s="2">
        <f>N80*U80</f>
        <v>101285.38613198207</v>
      </c>
      <c r="Y80" s="2"/>
      <c r="Z80" s="168"/>
    </row>
    <row r="81" spans="1:26" ht="64.5" customHeight="1">
      <c r="A81" s="3" t="s">
        <v>170</v>
      </c>
      <c r="B81" s="16" t="s">
        <v>69</v>
      </c>
      <c r="C81" s="2"/>
      <c r="D81" s="61"/>
      <c r="E81" s="33" t="s">
        <v>10</v>
      </c>
      <c r="F81" s="275">
        <v>15</v>
      </c>
      <c r="G81" s="2">
        <v>738346</v>
      </c>
      <c r="H81" s="2"/>
      <c r="I81" s="11">
        <f t="shared" si="7"/>
        <v>0</v>
      </c>
      <c r="J81" s="11"/>
      <c r="K81" s="141">
        <f>(1.048*1.058*1.031)</f>
        <v>1.143156304</v>
      </c>
      <c r="L81" s="102"/>
      <c r="M81" s="11"/>
      <c r="N81" s="103">
        <f>G81*1.048*1.058*1.031</f>
        <v>844044.8844331839</v>
      </c>
      <c r="O81" s="11"/>
      <c r="P81" s="3" t="s">
        <v>88</v>
      </c>
      <c r="Q81" s="1" t="s">
        <v>5</v>
      </c>
      <c r="R81" s="1" t="s">
        <v>5</v>
      </c>
      <c r="S81" s="1" t="s">
        <v>5</v>
      </c>
      <c r="T81" s="1" t="s">
        <v>5</v>
      </c>
      <c r="U81" s="1">
        <v>0.08</v>
      </c>
      <c r="V81" s="1" t="s">
        <v>5</v>
      </c>
      <c r="W81" s="2"/>
      <c r="X81" s="2">
        <f>N81*U81</f>
        <v>67523.59075465471</v>
      </c>
      <c r="Y81" s="2"/>
      <c r="Z81" s="76"/>
    </row>
    <row r="82" spans="1:26" ht="26.25" customHeight="1">
      <c r="A82" s="329" t="s">
        <v>287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2"/>
      <c r="X82" s="2"/>
      <c r="Y82" s="2"/>
      <c r="Z82" s="76"/>
    </row>
    <row r="83" spans="1:26" ht="23.25" customHeight="1">
      <c r="A83" s="256"/>
      <c r="B83" s="255"/>
      <c r="C83" s="255"/>
      <c r="D83" s="255"/>
      <c r="E83" s="255"/>
      <c r="F83" s="269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"/>
      <c r="X83" s="2"/>
      <c r="Y83" s="2"/>
      <c r="Z83" s="76"/>
    </row>
    <row r="84" spans="1:26" ht="33" customHeight="1">
      <c r="A84" s="308" t="s">
        <v>0</v>
      </c>
      <c r="B84" s="290" t="s">
        <v>1</v>
      </c>
      <c r="C84" s="327" t="s">
        <v>215</v>
      </c>
      <c r="D84" s="327" t="s">
        <v>134</v>
      </c>
      <c r="E84" s="290" t="s">
        <v>99</v>
      </c>
      <c r="F84" s="290"/>
      <c r="G84" s="290" t="s">
        <v>228</v>
      </c>
      <c r="H84" s="290" t="s">
        <v>136</v>
      </c>
      <c r="I84" s="290" t="s">
        <v>135</v>
      </c>
      <c r="J84" s="326" t="s">
        <v>208</v>
      </c>
      <c r="K84" s="326" t="s">
        <v>209</v>
      </c>
      <c r="L84" s="326" t="s">
        <v>210</v>
      </c>
      <c r="M84" s="290" t="s">
        <v>211</v>
      </c>
      <c r="N84" s="290" t="s">
        <v>212</v>
      </c>
      <c r="O84" s="290" t="s">
        <v>213</v>
      </c>
      <c r="P84" s="290" t="s">
        <v>13</v>
      </c>
      <c r="Q84" s="290" t="s">
        <v>12</v>
      </c>
      <c r="R84" s="290"/>
      <c r="S84" s="290"/>
      <c r="T84" s="290"/>
      <c r="U84" s="290"/>
      <c r="V84" s="290"/>
      <c r="W84" s="2"/>
      <c r="X84" s="2"/>
      <c r="Y84" s="2"/>
      <c r="Z84" s="76"/>
    </row>
    <row r="85" spans="1:26" ht="30" customHeight="1">
      <c r="A85" s="308"/>
      <c r="B85" s="290"/>
      <c r="C85" s="328"/>
      <c r="D85" s="328"/>
      <c r="E85" s="290"/>
      <c r="F85" s="290"/>
      <c r="G85" s="290"/>
      <c r="H85" s="290"/>
      <c r="I85" s="290"/>
      <c r="J85" s="326"/>
      <c r="K85" s="326"/>
      <c r="L85" s="326"/>
      <c r="M85" s="290"/>
      <c r="N85" s="290"/>
      <c r="O85" s="290"/>
      <c r="P85" s="290"/>
      <c r="Q85" s="290" t="s">
        <v>8</v>
      </c>
      <c r="R85" s="290" t="s">
        <v>11</v>
      </c>
      <c r="S85" s="290" t="s">
        <v>7</v>
      </c>
      <c r="T85" s="290" t="s">
        <v>2</v>
      </c>
      <c r="U85" s="290" t="s">
        <v>3</v>
      </c>
      <c r="V85" s="290" t="s">
        <v>4</v>
      </c>
      <c r="W85" s="2"/>
      <c r="X85" s="2"/>
      <c r="Y85" s="2"/>
      <c r="Z85" s="76"/>
    </row>
    <row r="86" spans="1:26" ht="39.75" customHeight="1">
      <c r="A86" s="308"/>
      <c r="B86" s="290"/>
      <c r="C86" s="324"/>
      <c r="D86" s="324"/>
      <c r="E86" s="290"/>
      <c r="F86" s="290"/>
      <c r="G86" s="290"/>
      <c r="H86" s="290"/>
      <c r="I86" s="290"/>
      <c r="J86" s="326"/>
      <c r="K86" s="326"/>
      <c r="L86" s="326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"/>
      <c r="X86" s="2"/>
      <c r="Y86" s="2"/>
      <c r="Z86" s="76"/>
    </row>
    <row r="87" spans="1:26" ht="57" customHeight="1">
      <c r="A87" s="3" t="s">
        <v>171</v>
      </c>
      <c r="B87" s="16" t="s">
        <v>70</v>
      </c>
      <c r="C87" s="2"/>
      <c r="D87" s="61"/>
      <c r="E87" s="33" t="s">
        <v>10</v>
      </c>
      <c r="F87" s="275">
        <v>15</v>
      </c>
      <c r="G87" s="2">
        <v>738346</v>
      </c>
      <c r="H87" s="2"/>
      <c r="I87" s="11">
        <f t="shared" si="7"/>
        <v>0</v>
      </c>
      <c r="J87" s="11"/>
      <c r="K87" s="11"/>
      <c r="L87" s="141">
        <f>(1.048*1.058*1.062*1.019)</f>
        <v>1.199901651552</v>
      </c>
      <c r="M87" s="2"/>
      <c r="N87" s="2"/>
      <c r="O87" s="103">
        <f>G87*(1.048*1.058*1.062*1.019)</f>
        <v>885942.584816813</v>
      </c>
      <c r="P87" s="3" t="s">
        <v>88</v>
      </c>
      <c r="Q87" s="1" t="s">
        <v>5</v>
      </c>
      <c r="R87" s="1" t="s">
        <v>5</v>
      </c>
      <c r="S87" s="1" t="s">
        <v>5</v>
      </c>
      <c r="T87" s="1" t="s">
        <v>5</v>
      </c>
      <c r="U87" s="1">
        <v>0.08</v>
      </c>
      <c r="V87" s="1" t="s">
        <v>5</v>
      </c>
      <c r="W87" s="2"/>
      <c r="X87" s="2"/>
      <c r="Y87" s="2">
        <f>O87*U87</f>
        <v>70875.40678534504</v>
      </c>
      <c r="Z87" s="76"/>
    </row>
    <row r="88" spans="1:26" ht="47.25">
      <c r="A88" s="3" t="s">
        <v>172</v>
      </c>
      <c r="B88" s="16" t="s">
        <v>71</v>
      </c>
      <c r="C88" s="2"/>
      <c r="D88" s="61"/>
      <c r="E88" s="33" t="s">
        <v>10</v>
      </c>
      <c r="F88" s="275">
        <v>15</v>
      </c>
      <c r="G88" s="2">
        <v>738346</v>
      </c>
      <c r="H88" s="2"/>
      <c r="I88" s="11">
        <f t="shared" si="7"/>
        <v>0</v>
      </c>
      <c r="J88" s="11"/>
      <c r="K88" s="11"/>
      <c r="L88" s="141">
        <f>(1.048*1.058*1.062*1.019)</f>
        <v>1.199901651552</v>
      </c>
      <c r="M88" s="2"/>
      <c r="N88" s="2"/>
      <c r="O88" s="103">
        <f>G88*(1.048*1.058*1.062*1.019)</f>
        <v>885942.584816813</v>
      </c>
      <c r="P88" s="3" t="s">
        <v>88</v>
      </c>
      <c r="Q88" s="1" t="s">
        <v>5</v>
      </c>
      <c r="R88" s="1" t="s">
        <v>5</v>
      </c>
      <c r="S88" s="1" t="s">
        <v>5</v>
      </c>
      <c r="T88" s="1" t="s">
        <v>5</v>
      </c>
      <c r="U88" s="1">
        <v>0.16</v>
      </c>
      <c r="V88" s="1" t="s">
        <v>5</v>
      </c>
      <c r="W88" s="2"/>
      <c r="X88" s="2"/>
      <c r="Y88" s="2">
        <f>O88*U88</f>
        <v>141750.81357069008</v>
      </c>
      <c r="Z88" s="76"/>
    </row>
    <row r="89" spans="1:27" ht="47.25">
      <c r="A89" s="3" t="s">
        <v>173</v>
      </c>
      <c r="B89" s="12" t="s">
        <v>72</v>
      </c>
      <c r="C89" s="2"/>
      <c r="D89" s="61"/>
      <c r="E89" s="33" t="s">
        <v>10</v>
      </c>
      <c r="F89" s="275">
        <v>15</v>
      </c>
      <c r="G89" s="2">
        <v>738346</v>
      </c>
      <c r="H89" s="2"/>
      <c r="I89" s="11">
        <f t="shared" si="7"/>
        <v>0</v>
      </c>
      <c r="J89" s="11"/>
      <c r="K89" s="11"/>
      <c r="L89" s="141">
        <f>(1.048*1.058*1.062*1.019)</f>
        <v>1.199901651552</v>
      </c>
      <c r="M89" s="2"/>
      <c r="N89" s="2"/>
      <c r="O89" s="103">
        <f>G89*(1.048*1.058*1.062*1.019)</f>
        <v>885942.584816813</v>
      </c>
      <c r="P89" s="3" t="s">
        <v>88</v>
      </c>
      <c r="Q89" s="1" t="s">
        <v>5</v>
      </c>
      <c r="R89" s="1" t="s">
        <v>5</v>
      </c>
      <c r="S89" s="1" t="s">
        <v>5</v>
      </c>
      <c r="T89" s="1" t="s">
        <v>5</v>
      </c>
      <c r="U89" s="1">
        <v>0.04</v>
      </c>
      <c r="V89" s="1" t="s">
        <v>5</v>
      </c>
      <c r="W89" s="2"/>
      <c r="X89" s="2"/>
      <c r="Y89" s="2">
        <f>O89*U89</f>
        <v>35437.70339267252</v>
      </c>
      <c r="Z89" s="76"/>
      <c r="AA89" s="76"/>
    </row>
    <row r="90" spans="1:26" ht="19.5" customHeight="1">
      <c r="A90" s="298" t="s">
        <v>77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338"/>
      <c r="X90" s="338"/>
      <c r="Y90" s="339"/>
      <c r="Z90" s="76"/>
    </row>
    <row r="91" spans="1:26" ht="31.5">
      <c r="A91" s="73" t="s">
        <v>174</v>
      </c>
      <c r="B91" s="13" t="s">
        <v>272</v>
      </c>
      <c r="C91" s="2"/>
      <c r="D91" s="61"/>
      <c r="E91" s="18" t="s">
        <v>10</v>
      </c>
      <c r="F91" s="274">
        <f>2*100*0.89</f>
        <v>178</v>
      </c>
      <c r="G91" s="2">
        <v>689118</v>
      </c>
      <c r="H91" s="2">
        <v>160400</v>
      </c>
      <c r="I91" s="11">
        <f>C91*1/100</f>
        <v>0</v>
      </c>
      <c r="J91" s="141">
        <f>(1.048*1.029)</f>
        <v>1.078392</v>
      </c>
      <c r="K91" s="11"/>
      <c r="L91" s="11"/>
      <c r="M91" s="103">
        <v>751360.15</v>
      </c>
      <c r="N91" s="11"/>
      <c r="O91" s="11"/>
      <c r="P91" s="8" t="s">
        <v>81</v>
      </c>
      <c r="Q91" s="1">
        <v>1</v>
      </c>
      <c r="R91" s="1" t="s">
        <v>5</v>
      </c>
      <c r="S91" s="1" t="s">
        <v>5</v>
      </c>
      <c r="T91" s="1" t="s">
        <v>5</v>
      </c>
      <c r="U91" s="1" t="s">
        <v>5</v>
      </c>
      <c r="V91" s="1" t="s">
        <v>5</v>
      </c>
      <c r="W91" s="2">
        <f>M91*Q91</f>
        <v>751360.15</v>
      </c>
      <c r="X91" s="2"/>
      <c r="Y91" s="2"/>
      <c r="Z91" s="76"/>
    </row>
    <row r="92" spans="1:25" ht="31.5">
      <c r="A92" s="3" t="s">
        <v>175</v>
      </c>
      <c r="B92" s="12" t="s">
        <v>255</v>
      </c>
      <c r="C92" s="2"/>
      <c r="D92" s="61"/>
      <c r="E92" s="18"/>
      <c r="F92" s="271"/>
      <c r="G92" s="2">
        <f>945096</f>
        <v>945096</v>
      </c>
      <c r="H92" s="2"/>
      <c r="I92" s="11">
        <f>C92*3/100</f>
        <v>0</v>
      </c>
      <c r="J92" s="141">
        <f>(1.048*1.029)</f>
        <v>1.078392</v>
      </c>
      <c r="K92" s="11"/>
      <c r="L92" s="11"/>
      <c r="M92" s="103">
        <v>1017254.08</v>
      </c>
      <c r="N92" s="11"/>
      <c r="O92" s="11"/>
      <c r="P92" s="8" t="s">
        <v>17</v>
      </c>
      <c r="Q92" s="1" t="s">
        <v>5</v>
      </c>
      <c r="R92" s="1" t="s">
        <v>5</v>
      </c>
      <c r="S92" s="1" t="s">
        <v>5</v>
      </c>
      <c r="T92" s="1">
        <f>0.3+0.565</f>
        <v>0.865</v>
      </c>
      <c r="U92" s="1" t="s">
        <v>5</v>
      </c>
      <c r="V92" s="1" t="s">
        <v>5</v>
      </c>
      <c r="W92" s="2">
        <f>M92*T92</f>
        <v>879924.7792</v>
      </c>
      <c r="X92" s="2"/>
      <c r="Y92" s="2"/>
    </row>
    <row r="93" spans="1:25" ht="31.5" hidden="1">
      <c r="A93" s="3" t="s">
        <v>176</v>
      </c>
      <c r="B93" s="12" t="s">
        <v>48</v>
      </c>
      <c r="C93" s="2"/>
      <c r="D93" s="61"/>
      <c r="E93" s="18"/>
      <c r="F93" s="271"/>
      <c r="G93" s="2">
        <f>945096</f>
        <v>945096</v>
      </c>
      <c r="H93" s="2"/>
      <c r="I93" s="11">
        <f>C93*3/100</f>
        <v>0</v>
      </c>
      <c r="J93" s="141">
        <f>(1.048*1.029)</f>
        <v>1.078392</v>
      </c>
      <c r="K93" s="11"/>
      <c r="L93" s="11"/>
      <c r="M93" s="103">
        <f>G93*1.048*1.029</f>
        <v>1019183.9656319999</v>
      </c>
      <c r="N93" s="11"/>
      <c r="O93" s="11"/>
      <c r="P93" s="8" t="s">
        <v>17</v>
      </c>
      <c r="Q93" s="1" t="s">
        <v>5</v>
      </c>
      <c r="R93" s="1" t="s">
        <v>5</v>
      </c>
      <c r="S93" s="1" t="s">
        <v>5</v>
      </c>
      <c r="T93" s="1"/>
      <c r="U93" s="1" t="s">
        <v>5</v>
      </c>
      <c r="V93" s="1" t="s">
        <v>5</v>
      </c>
      <c r="W93" s="2">
        <f>M93*T93</f>
        <v>0</v>
      </c>
      <c r="X93" s="2"/>
      <c r="Y93" s="2"/>
    </row>
    <row r="94" spans="1:25" ht="31.5">
      <c r="A94" s="73" t="s">
        <v>177</v>
      </c>
      <c r="B94" s="13" t="s">
        <v>256</v>
      </c>
      <c r="C94" s="2"/>
      <c r="D94" s="61"/>
      <c r="E94" s="18" t="s">
        <v>10</v>
      </c>
      <c r="F94" s="274">
        <f>1*100*0.89</f>
        <v>89</v>
      </c>
      <c r="G94" s="2">
        <f>389846</f>
        <v>389846</v>
      </c>
      <c r="H94" s="2">
        <v>80200</v>
      </c>
      <c r="I94" s="11">
        <f>C94*1/100</f>
        <v>0</v>
      </c>
      <c r="J94" s="141">
        <f>(1.048*1.029)</f>
        <v>1.078392</v>
      </c>
      <c r="K94" s="11"/>
      <c r="L94" s="11"/>
      <c r="M94" s="103">
        <v>419610.74</v>
      </c>
      <c r="N94" s="11"/>
      <c r="O94" s="11"/>
      <c r="P94" s="8" t="s">
        <v>18</v>
      </c>
      <c r="Q94" s="1">
        <v>1</v>
      </c>
      <c r="R94" s="1" t="s">
        <v>5</v>
      </c>
      <c r="S94" s="1" t="s">
        <v>5</v>
      </c>
      <c r="T94" s="1" t="s">
        <v>5</v>
      </c>
      <c r="U94" s="1" t="s">
        <v>5</v>
      </c>
      <c r="V94" s="1" t="s">
        <v>5</v>
      </c>
      <c r="W94" s="2">
        <f>M94*Q94</f>
        <v>419610.74</v>
      </c>
      <c r="X94" s="2"/>
      <c r="Y94" s="2"/>
    </row>
    <row r="95" spans="1:25" ht="40.5" customHeight="1">
      <c r="A95" s="3" t="s">
        <v>180</v>
      </c>
      <c r="B95" s="12" t="s">
        <v>258</v>
      </c>
      <c r="C95" s="2"/>
      <c r="D95" s="61"/>
      <c r="E95" s="18"/>
      <c r="F95" s="271"/>
      <c r="G95" s="2">
        <f>945096</f>
        <v>945096</v>
      </c>
      <c r="H95" s="2"/>
      <c r="I95" s="11">
        <f>C95*3/100</f>
        <v>0</v>
      </c>
      <c r="J95" s="141">
        <f>(1.048*1.029)</f>
        <v>1.078392</v>
      </c>
      <c r="K95" s="11"/>
      <c r="L95" s="11"/>
      <c r="M95" s="103">
        <v>1017254.08</v>
      </c>
      <c r="N95" s="11"/>
      <c r="O95" s="11"/>
      <c r="P95" s="8" t="s">
        <v>17</v>
      </c>
      <c r="Q95" s="1" t="s">
        <v>5</v>
      </c>
      <c r="R95" s="1" t="s">
        <v>5</v>
      </c>
      <c r="S95" s="1" t="s">
        <v>5</v>
      </c>
      <c r="T95" s="1">
        <v>0.65</v>
      </c>
      <c r="U95" s="1" t="s">
        <v>5</v>
      </c>
      <c r="V95" s="1" t="s">
        <v>5</v>
      </c>
      <c r="W95" s="2">
        <f>M95*T95</f>
        <v>661215.152</v>
      </c>
      <c r="X95" s="2"/>
      <c r="Y95" s="2"/>
    </row>
    <row r="96" spans="1:25" ht="31.5">
      <c r="A96" s="73" t="s">
        <v>178</v>
      </c>
      <c r="B96" s="13" t="s">
        <v>257</v>
      </c>
      <c r="C96" s="2"/>
      <c r="D96" s="61"/>
      <c r="E96" s="18" t="s">
        <v>10</v>
      </c>
      <c r="F96" s="271">
        <f>1*160*0.89</f>
        <v>142.4</v>
      </c>
      <c r="G96" s="2">
        <f>423808</f>
        <v>423808</v>
      </c>
      <c r="H96" s="2">
        <v>83125</v>
      </c>
      <c r="I96" s="2">
        <f>(G96-H96)*1/100</f>
        <v>3406.83</v>
      </c>
      <c r="J96" s="2"/>
      <c r="K96" s="141">
        <f>(1.048*1.058*1.031)</f>
        <v>1.143156304</v>
      </c>
      <c r="L96" s="102"/>
      <c r="M96" s="11"/>
      <c r="N96" s="103">
        <f>G96*1.048*1.058*1.031</f>
        <v>484478.786885632</v>
      </c>
      <c r="O96" s="2"/>
      <c r="P96" s="8" t="s">
        <v>15</v>
      </c>
      <c r="Q96" s="1">
        <v>1</v>
      </c>
      <c r="R96" s="1" t="s">
        <v>5</v>
      </c>
      <c r="S96" s="1" t="s">
        <v>5</v>
      </c>
      <c r="T96" s="1" t="s">
        <v>5</v>
      </c>
      <c r="U96" s="1" t="s">
        <v>5</v>
      </c>
      <c r="V96" s="1" t="s">
        <v>5</v>
      </c>
      <c r="W96" s="2"/>
      <c r="X96" s="2">
        <f>N96*Q96</f>
        <v>484478.786885632</v>
      </c>
      <c r="Y96" s="2"/>
    </row>
    <row r="97" spans="1:25" ht="31.5">
      <c r="A97" s="3" t="s">
        <v>181</v>
      </c>
      <c r="B97" s="12" t="s">
        <v>273</v>
      </c>
      <c r="C97" s="2"/>
      <c r="D97" s="61"/>
      <c r="E97" s="18"/>
      <c r="F97" s="271"/>
      <c r="G97" s="2">
        <f>702602</f>
        <v>702602</v>
      </c>
      <c r="H97" s="2"/>
      <c r="I97" s="11">
        <f>C97*3/100</f>
        <v>0</v>
      </c>
      <c r="J97" s="11"/>
      <c r="K97" s="141">
        <f>(1.048*1.058*1.031)</f>
        <v>1.143156304</v>
      </c>
      <c r="L97" s="102"/>
      <c r="M97" s="11"/>
      <c r="N97" s="103">
        <f>G97*1.048*1.058*1.031</f>
        <v>803183.905503008</v>
      </c>
      <c r="O97" s="11"/>
      <c r="P97" s="8" t="s">
        <v>16</v>
      </c>
      <c r="Q97" s="1" t="s">
        <v>5</v>
      </c>
      <c r="R97" s="1" t="s">
        <v>5</v>
      </c>
      <c r="S97" s="1">
        <v>0.6</v>
      </c>
      <c r="T97" s="1" t="s">
        <v>5</v>
      </c>
      <c r="U97" s="1" t="s">
        <v>5</v>
      </c>
      <c r="V97" s="1" t="s">
        <v>5</v>
      </c>
      <c r="W97" s="2"/>
      <c r="X97" s="2">
        <f>N97*S97</f>
        <v>481910.3433018048</v>
      </c>
      <c r="Y97" s="2"/>
    </row>
    <row r="98" spans="1:25" ht="31.5">
      <c r="A98" s="73" t="s">
        <v>182</v>
      </c>
      <c r="B98" s="13" t="s">
        <v>261</v>
      </c>
      <c r="C98" s="2"/>
      <c r="D98" s="61"/>
      <c r="E98" s="18" t="s">
        <v>10</v>
      </c>
      <c r="F98" s="274">
        <f>2*250*0.89</f>
        <v>445</v>
      </c>
      <c r="G98" s="2">
        <f>933123</f>
        <v>933123</v>
      </c>
      <c r="H98" s="2">
        <f>235470</f>
        <v>235470</v>
      </c>
      <c r="I98" s="2">
        <f>(G98-H98)*1/100</f>
        <v>6976.53</v>
      </c>
      <c r="J98" s="2"/>
      <c r="K98" s="141">
        <f>(1.048*1.058*1.031)</f>
        <v>1.143156304</v>
      </c>
      <c r="L98" s="102"/>
      <c r="M98" s="11"/>
      <c r="N98" s="103">
        <f>G98*1.048*1.058*1.031</f>
        <v>1066705.439857392</v>
      </c>
      <c r="O98" s="2"/>
      <c r="P98" s="8" t="s">
        <v>76</v>
      </c>
      <c r="Q98" s="1">
        <v>1</v>
      </c>
      <c r="R98" s="1" t="s">
        <v>5</v>
      </c>
      <c r="S98" s="1" t="s">
        <v>5</v>
      </c>
      <c r="T98" s="1" t="s">
        <v>5</v>
      </c>
      <c r="U98" s="1" t="s">
        <v>5</v>
      </c>
      <c r="V98" s="1" t="s">
        <v>5</v>
      </c>
      <c r="W98" s="2"/>
      <c r="X98" s="2">
        <f>N98*Q98</f>
        <v>1066705.439857392</v>
      </c>
      <c r="Y98" s="2"/>
    </row>
    <row r="99" spans="1:25" ht="31.5">
      <c r="A99" s="3" t="s">
        <v>183</v>
      </c>
      <c r="B99" s="12" t="s">
        <v>262</v>
      </c>
      <c r="C99" s="2"/>
      <c r="D99" s="61"/>
      <c r="E99" s="18"/>
      <c r="F99" s="271"/>
      <c r="G99" s="2">
        <f>945096</f>
        <v>945096</v>
      </c>
      <c r="H99" s="2"/>
      <c r="I99" s="11">
        <f>C99*3/100</f>
        <v>0</v>
      </c>
      <c r="J99" s="11"/>
      <c r="K99" s="141">
        <f>(1.048*1.058*1.031)</f>
        <v>1.143156304</v>
      </c>
      <c r="L99" s="102"/>
      <c r="M99" s="11"/>
      <c r="N99" s="103">
        <f>G99*1.048*1.058*1.031</f>
        <v>1080392.450285184</v>
      </c>
      <c r="O99" s="11"/>
      <c r="P99" s="8" t="s">
        <v>17</v>
      </c>
      <c r="Q99" s="1" t="s">
        <v>5</v>
      </c>
      <c r="R99" s="1" t="s">
        <v>5</v>
      </c>
      <c r="S99" s="1" t="s">
        <v>5</v>
      </c>
      <c r="T99" s="1">
        <f>0.23+0.15</f>
        <v>0.38</v>
      </c>
      <c r="U99" s="1" t="s">
        <v>5</v>
      </c>
      <c r="V99" s="1" t="s">
        <v>5</v>
      </c>
      <c r="W99" s="2"/>
      <c r="X99" s="2">
        <f>N99*T99</f>
        <v>410549.1311083699</v>
      </c>
      <c r="Y99" s="2"/>
    </row>
    <row r="100" spans="1:25" ht="31.5" hidden="1">
      <c r="A100" s="3" t="s">
        <v>184</v>
      </c>
      <c r="B100" s="12" t="s">
        <v>52</v>
      </c>
      <c r="C100" s="2"/>
      <c r="D100" s="61"/>
      <c r="E100" s="18"/>
      <c r="F100" s="271"/>
      <c r="G100" s="2">
        <f>945096</f>
        <v>945096</v>
      </c>
      <c r="H100" s="2"/>
      <c r="I100" s="11">
        <f>C100*3/100</f>
        <v>0</v>
      </c>
      <c r="J100" s="11"/>
      <c r="K100" s="141">
        <f>(1.048*1.058*1.031)</f>
        <v>1.143156304</v>
      </c>
      <c r="L100" s="102"/>
      <c r="M100" s="11"/>
      <c r="N100" s="103">
        <f>G100*1.048*1.058*1.031</f>
        <v>1080392.450285184</v>
      </c>
      <c r="O100" s="11"/>
      <c r="P100" s="8" t="s">
        <v>17</v>
      </c>
      <c r="Q100" s="1" t="s">
        <v>5</v>
      </c>
      <c r="R100" s="1" t="s">
        <v>5</v>
      </c>
      <c r="S100" s="1" t="s">
        <v>5</v>
      </c>
      <c r="T100" s="1"/>
      <c r="U100" s="1" t="s">
        <v>5</v>
      </c>
      <c r="V100" s="1" t="s">
        <v>5</v>
      </c>
      <c r="W100" s="2"/>
      <c r="X100" s="2">
        <f>N100*T100</f>
        <v>0</v>
      </c>
      <c r="Y100" s="2"/>
    </row>
    <row r="101" spans="1:25" ht="31.5">
      <c r="A101" s="73" t="s">
        <v>185</v>
      </c>
      <c r="B101" s="13" t="s">
        <v>257</v>
      </c>
      <c r="C101" s="2"/>
      <c r="D101" s="61"/>
      <c r="E101" s="18" t="s">
        <v>10</v>
      </c>
      <c r="F101" s="271">
        <f>1*160*0.89</f>
        <v>142.4</v>
      </c>
      <c r="G101" s="2">
        <f>423808</f>
        <v>423808</v>
      </c>
      <c r="H101" s="2">
        <v>83125</v>
      </c>
      <c r="I101" s="2">
        <f>(G101-H101)*1/100</f>
        <v>3406.83</v>
      </c>
      <c r="J101" s="2"/>
      <c r="K101" s="2"/>
      <c r="L101" s="141">
        <f aca="true" t="shared" si="8" ref="L101:L113">(1.048*1.058*1.062*1.019)</f>
        <v>1.199901651552</v>
      </c>
      <c r="M101" s="2"/>
      <c r="N101" s="2"/>
      <c r="O101" s="103">
        <f aca="true" t="shared" si="9" ref="O101:O113">G101*(1.048*1.058*1.062*1.019)</f>
        <v>508527.91914095</v>
      </c>
      <c r="P101" s="8" t="s">
        <v>15</v>
      </c>
      <c r="Q101" s="1">
        <v>1</v>
      </c>
      <c r="R101" s="1" t="s">
        <v>5</v>
      </c>
      <c r="S101" s="1" t="s">
        <v>5</v>
      </c>
      <c r="T101" s="1" t="s">
        <v>5</v>
      </c>
      <c r="U101" s="1" t="s">
        <v>5</v>
      </c>
      <c r="V101" s="1" t="s">
        <v>5</v>
      </c>
      <c r="W101" s="2"/>
      <c r="X101" s="2"/>
      <c r="Y101" s="2">
        <f>O101*Q101</f>
        <v>508527.91914095</v>
      </c>
    </row>
    <row r="102" spans="1:25" ht="44.25" customHeight="1">
      <c r="A102" s="3" t="s">
        <v>186</v>
      </c>
      <c r="B102" s="12" t="s">
        <v>274</v>
      </c>
      <c r="C102" s="2"/>
      <c r="D102" s="61"/>
      <c r="E102" s="18"/>
      <c r="F102" s="271"/>
      <c r="G102" s="2">
        <f>945096</f>
        <v>945096</v>
      </c>
      <c r="H102" s="2"/>
      <c r="I102" s="11">
        <f>C102*3/100</f>
        <v>0</v>
      </c>
      <c r="J102" s="11"/>
      <c r="K102" s="11"/>
      <c r="L102" s="141">
        <f t="shared" si="8"/>
        <v>1.199901651552</v>
      </c>
      <c r="M102" s="2"/>
      <c r="N102" s="2"/>
      <c r="O102" s="103">
        <f>G102*(1.048*1.058*1.062*1.019)</f>
        <v>1134022.251275189</v>
      </c>
      <c r="P102" s="8" t="s">
        <v>17</v>
      </c>
      <c r="Q102" s="1" t="s">
        <v>5</v>
      </c>
      <c r="R102" s="1" t="s">
        <v>5</v>
      </c>
      <c r="S102" s="1" t="s">
        <v>5</v>
      </c>
      <c r="T102" s="1">
        <v>0.14</v>
      </c>
      <c r="U102" s="1" t="s">
        <v>5</v>
      </c>
      <c r="V102" s="1" t="s">
        <v>5</v>
      </c>
      <c r="W102" s="2"/>
      <c r="X102" s="2"/>
      <c r="Y102" s="2"/>
    </row>
    <row r="103" spans="1:25" ht="18" customHeight="1">
      <c r="A103" s="329" t="s">
        <v>288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261"/>
      <c r="X103" s="213"/>
      <c r="Y103" s="213"/>
    </row>
    <row r="104" spans="1:25" ht="18.75">
      <c r="A104" s="256"/>
      <c r="B104" s="255"/>
      <c r="C104" s="255"/>
      <c r="D104" s="255"/>
      <c r="E104" s="255"/>
      <c r="F104" s="269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31"/>
      <c r="X104" s="2"/>
      <c r="Y104" s="2"/>
    </row>
    <row r="105" spans="1:25" ht="27" customHeight="1">
      <c r="A105" s="308" t="s">
        <v>0</v>
      </c>
      <c r="B105" s="290" t="s">
        <v>1</v>
      </c>
      <c r="C105" s="327" t="s">
        <v>215</v>
      </c>
      <c r="D105" s="327" t="s">
        <v>134</v>
      </c>
      <c r="E105" s="290" t="s">
        <v>99</v>
      </c>
      <c r="F105" s="290"/>
      <c r="G105" s="290" t="s">
        <v>228</v>
      </c>
      <c r="H105" s="290" t="s">
        <v>136</v>
      </c>
      <c r="I105" s="290" t="s">
        <v>135</v>
      </c>
      <c r="J105" s="326" t="s">
        <v>208</v>
      </c>
      <c r="K105" s="326" t="s">
        <v>209</v>
      </c>
      <c r="L105" s="326" t="s">
        <v>210</v>
      </c>
      <c r="M105" s="290" t="s">
        <v>211</v>
      </c>
      <c r="N105" s="290" t="s">
        <v>212</v>
      </c>
      <c r="O105" s="290" t="s">
        <v>213</v>
      </c>
      <c r="P105" s="290" t="s">
        <v>13</v>
      </c>
      <c r="Q105" s="290" t="s">
        <v>12</v>
      </c>
      <c r="R105" s="290"/>
      <c r="S105" s="290"/>
      <c r="T105" s="290"/>
      <c r="U105" s="290"/>
      <c r="V105" s="290"/>
      <c r="W105" s="2"/>
      <c r="X105" s="2"/>
      <c r="Y105" s="2"/>
    </row>
    <row r="106" spans="1:25" ht="31.5" customHeight="1">
      <c r="A106" s="308"/>
      <c r="B106" s="290"/>
      <c r="C106" s="328"/>
      <c r="D106" s="328"/>
      <c r="E106" s="290"/>
      <c r="F106" s="290"/>
      <c r="G106" s="290"/>
      <c r="H106" s="290"/>
      <c r="I106" s="290"/>
      <c r="J106" s="326"/>
      <c r="K106" s="326"/>
      <c r="L106" s="326"/>
      <c r="M106" s="290"/>
      <c r="N106" s="290"/>
      <c r="O106" s="290"/>
      <c r="P106" s="290"/>
      <c r="Q106" s="290" t="s">
        <v>8</v>
      </c>
      <c r="R106" s="290" t="s">
        <v>11</v>
      </c>
      <c r="S106" s="290" t="s">
        <v>7</v>
      </c>
      <c r="T106" s="290" t="s">
        <v>2</v>
      </c>
      <c r="U106" s="290" t="s">
        <v>3</v>
      </c>
      <c r="V106" s="290" t="s">
        <v>4</v>
      </c>
      <c r="W106" s="2"/>
      <c r="X106" s="2"/>
      <c r="Y106" s="2"/>
    </row>
    <row r="107" spans="1:25" ht="48" customHeight="1">
      <c r="A107" s="308"/>
      <c r="B107" s="290"/>
      <c r="C107" s="324"/>
      <c r="D107" s="324"/>
      <c r="E107" s="290"/>
      <c r="F107" s="290"/>
      <c r="G107" s="290"/>
      <c r="H107" s="290"/>
      <c r="I107" s="290"/>
      <c r="J107" s="326"/>
      <c r="K107" s="326"/>
      <c r="L107" s="326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"/>
      <c r="X107" s="2"/>
      <c r="Y107" s="2"/>
    </row>
    <row r="108" spans="1:25" ht="31.5">
      <c r="A108" s="3" t="s">
        <v>187</v>
      </c>
      <c r="B108" s="12" t="s">
        <v>53</v>
      </c>
      <c r="C108" s="2"/>
      <c r="D108" s="61"/>
      <c r="E108" s="18" t="s">
        <v>10</v>
      </c>
      <c r="F108" s="271">
        <v>95</v>
      </c>
      <c r="G108" s="2">
        <v>784377</v>
      </c>
      <c r="H108" s="2"/>
      <c r="I108" s="11">
        <f aca="true" t="shared" si="10" ref="I108:I113">C108*3/100</f>
        <v>0</v>
      </c>
      <c r="J108" s="11"/>
      <c r="K108" s="11"/>
      <c r="L108" s="141">
        <f t="shared" si="8"/>
        <v>1.199901651552</v>
      </c>
      <c r="M108" s="2"/>
      <c r="N108" s="2"/>
      <c r="O108" s="103">
        <f t="shared" si="9"/>
        <v>941175.2577394032</v>
      </c>
      <c r="P108" s="8" t="s">
        <v>19</v>
      </c>
      <c r="Q108" s="1" t="s">
        <v>5</v>
      </c>
      <c r="R108" s="1" t="s">
        <v>5</v>
      </c>
      <c r="S108" s="1" t="s">
        <v>5</v>
      </c>
      <c r="T108" s="1" t="s">
        <v>5</v>
      </c>
      <c r="U108" s="1" t="s">
        <v>5</v>
      </c>
      <c r="V108" s="1">
        <v>0.15</v>
      </c>
      <c r="W108" s="2"/>
      <c r="X108" s="2"/>
      <c r="Y108" s="2">
        <f>O108*V108</f>
        <v>141176.28866091048</v>
      </c>
    </row>
    <row r="109" spans="1:25" ht="36" customHeight="1">
      <c r="A109" s="3" t="s">
        <v>188</v>
      </c>
      <c r="B109" s="12" t="s">
        <v>54</v>
      </c>
      <c r="C109" s="2"/>
      <c r="D109" s="61"/>
      <c r="E109" s="18" t="s">
        <v>10</v>
      </c>
      <c r="F109" s="271">
        <v>120</v>
      </c>
      <c r="G109" s="2">
        <v>784377</v>
      </c>
      <c r="H109" s="2"/>
      <c r="I109" s="11">
        <f t="shared" si="10"/>
        <v>0</v>
      </c>
      <c r="J109" s="11"/>
      <c r="K109" s="11"/>
      <c r="L109" s="141">
        <f t="shared" si="8"/>
        <v>1.199901651552</v>
      </c>
      <c r="M109" s="2"/>
      <c r="N109" s="2"/>
      <c r="O109" s="103">
        <f t="shared" si="9"/>
        <v>941175.2577394032</v>
      </c>
      <c r="P109" s="8" t="s">
        <v>19</v>
      </c>
      <c r="Q109" s="1" t="s">
        <v>5</v>
      </c>
      <c r="R109" s="1" t="s">
        <v>5</v>
      </c>
      <c r="S109" s="1" t="s">
        <v>5</v>
      </c>
      <c r="T109" s="1" t="s">
        <v>5</v>
      </c>
      <c r="U109" s="1" t="s">
        <v>5</v>
      </c>
      <c r="V109" s="1">
        <v>0.44</v>
      </c>
      <c r="W109" s="2"/>
      <c r="X109" s="2"/>
      <c r="Y109" s="2">
        <f>O109*V109</f>
        <v>414117.1134053374</v>
      </c>
    </row>
    <row r="110" spans="1:25" ht="35.25" customHeight="1">
      <c r="A110" s="3" t="s">
        <v>189</v>
      </c>
      <c r="B110" s="12" t="s">
        <v>55</v>
      </c>
      <c r="C110" s="2"/>
      <c r="D110" s="61"/>
      <c r="E110" s="18" t="s">
        <v>10</v>
      </c>
      <c r="F110" s="271">
        <v>100</v>
      </c>
      <c r="G110" s="2">
        <v>784377</v>
      </c>
      <c r="H110" s="2"/>
      <c r="I110" s="11">
        <f t="shared" si="10"/>
        <v>0</v>
      </c>
      <c r="J110" s="11"/>
      <c r="K110" s="11"/>
      <c r="L110" s="141">
        <f t="shared" si="8"/>
        <v>1.199901651552</v>
      </c>
      <c r="M110" s="2"/>
      <c r="N110" s="2"/>
      <c r="O110" s="103">
        <f t="shared" si="9"/>
        <v>941175.2577394032</v>
      </c>
      <c r="P110" s="8" t="s">
        <v>19</v>
      </c>
      <c r="Q110" s="1" t="s">
        <v>5</v>
      </c>
      <c r="R110" s="1" t="s">
        <v>5</v>
      </c>
      <c r="S110" s="1" t="s">
        <v>5</v>
      </c>
      <c r="T110" s="1" t="s">
        <v>5</v>
      </c>
      <c r="U110" s="1" t="s">
        <v>5</v>
      </c>
      <c r="V110" s="1">
        <v>0.035</v>
      </c>
      <c r="W110" s="2"/>
      <c r="X110" s="2"/>
      <c r="Y110" s="2">
        <f>O110*V110</f>
        <v>32941.134020879115</v>
      </c>
    </row>
    <row r="111" spans="1:25" ht="36" customHeight="1">
      <c r="A111" s="3" t="s">
        <v>190</v>
      </c>
      <c r="B111" s="12" t="s">
        <v>56</v>
      </c>
      <c r="C111" s="2"/>
      <c r="D111" s="61"/>
      <c r="E111" s="18" t="s">
        <v>10</v>
      </c>
      <c r="F111" s="271">
        <v>100</v>
      </c>
      <c r="G111" s="2">
        <v>784377</v>
      </c>
      <c r="H111" s="2"/>
      <c r="I111" s="11">
        <f t="shared" si="10"/>
        <v>0</v>
      </c>
      <c r="J111" s="11"/>
      <c r="K111" s="11"/>
      <c r="L111" s="141">
        <f t="shared" si="8"/>
        <v>1.199901651552</v>
      </c>
      <c r="M111" s="2"/>
      <c r="N111" s="2"/>
      <c r="O111" s="103">
        <f t="shared" si="9"/>
        <v>941175.2577394032</v>
      </c>
      <c r="P111" s="8" t="s">
        <v>19</v>
      </c>
      <c r="Q111" s="1" t="s">
        <v>5</v>
      </c>
      <c r="R111" s="1" t="s">
        <v>5</v>
      </c>
      <c r="S111" s="1" t="s">
        <v>5</v>
      </c>
      <c r="T111" s="1" t="s">
        <v>5</v>
      </c>
      <c r="U111" s="1" t="s">
        <v>5</v>
      </c>
      <c r="V111" s="1">
        <v>0.25</v>
      </c>
      <c r="W111" s="2"/>
      <c r="X111" s="2"/>
      <c r="Y111" s="2">
        <f>O111*V111</f>
        <v>235293.8144348508</v>
      </c>
    </row>
    <row r="112" spans="1:25" ht="37.5" customHeight="1">
      <c r="A112" s="3" t="s">
        <v>191</v>
      </c>
      <c r="B112" s="12" t="s">
        <v>57</v>
      </c>
      <c r="C112" s="2"/>
      <c r="D112" s="61"/>
      <c r="E112" s="18" t="s">
        <v>10</v>
      </c>
      <c r="F112" s="271">
        <v>20</v>
      </c>
      <c r="G112" s="2">
        <f>564382</f>
        <v>564382</v>
      </c>
      <c r="H112" s="2"/>
      <c r="I112" s="11">
        <f t="shared" si="10"/>
        <v>0</v>
      </c>
      <c r="J112" s="11"/>
      <c r="K112" s="11"/>
      <c r="L112" s="141">
        <f t="shared" si="8"/>
        <v>1.199901651552</v>
      </c>
      <c r="M112" s="2"/>
      <c r="N112" s="2"/>
      <c r="O112" s="103">
        <f t="shared" si="9"/>
        <v>677202.8939062209</v>
      </c>
      <c r="P112" s="8" t="s">
        <v>82</v>
      </c>
      <c r="Q112" s="1" t="s">
        <v>5</v>
      </c>
      <c r="R112" s="1" t="s">
        <v>5</v>
      </c>
      <c r="S112" s="1" t="s">
        <v>5</v>
      </c>
      <c r="T112" s="1" t="s">
        <v>5</v>
      </c>
      <c r="U112" s="1">
        <v>0.175</v>
      </c>
      <c r="V112" s="1" t="s">
        <v>5</v>
      </c>
      <c r="W112" s="2"/>
      <c r="X112" s="2"/>
      <c r="Y112" s="2">
        <f>O112*U112</f>
        <v>118510.50643358866</v>
      </c>
    </row>
    <row r="113" spans="1:25" ht="39.75" customHeight="1">
      <c r="A113" s="3" t="s">
        <v>192</v>
      </c>
      <c r="B113" s="12" t="s">
        <v>58</v>
      </c>
      <c r="C113" s="2"/>
      <c r="D113" s="61"/>
      <c r="E113" s="18" t="s">
        <v>10</v>
      </c>
      <c r="F113" s="271">
        <v>25</v>
      </c>
      <c r="G113" s="2">
        <f>564382</f>
        <v>564382</v>
      </c>
      <c r="H113" s="2"/>
      <c r="I113" s="11">
        <f t="shared" si="10"/>
        <v>0</v>
      </c>
      <c r="J113" s="11"/>
      <c r="K113" s="11"/>
      <c r="L113" s="141">
        <f t="shared" si="8"/>
        <v>1.199901651552</v>
      </c>
      <c r="M113" s="2"/>
      <c r="N113" s="2"/>
      <c r="O113" s="103">
        <f t="shared" si="9"/>
        <v>677202.8939062209</v>
      </c>
      <c r="P113" s="8" t="s">
        <v>82</v>
      </c>
      <c r="Q113" s="1" t="s">
        <v>5</v>
      </c>
      <c r="R113" s="1" t="s">
        <v>5</v>
      </c>
      <c r="S113" s="1" t="s">
        <v>5</v>
      </c>
      <c r="T113" s="1" t="s">
        <v>5</v>
      </c>
      <c r="U113" s="1">
        <v>0.314</v>
      </c>
      <c r="V113" s="1" t="s">
        <v>5</v>
      </c>
      <c r="W113" s="2"/>
      <c r="X113" s="2"/>
      <c r="Y113" s="2">
        <f>O113*U113</f>
        <v>212641.70868655338</v>
      </c>
    </row>
    <row r="114" spans="1:25" ht="24.75" customHeight="1">
      <c r="A114" s="298" t="s">
        <v>78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300"/>
      <c r="W114" s="187"/>
      <c r="X114" s="187"/>
      <c r="Y114" s="53"/>
    </row>
    <row r="115" spans="1:25" s="105" customFormat="1" ht="28.5" customHeight="1">
      <c r="A115" s="212" t="s">
        <v>193</v>
      </c>
      <c r="B115" s="252" t="s">
        <v>264</v>
      </c>
      <c r="C115" s="213"/>
      <c r="D115" s="214"/>
      <c r="E115" s="215" t="s">
        <v>10</v>
      </c>
      <c r="F115" s="276">
        <f>1*250*0.89</f>
        <v>222.5</v>
      </c>
      <c r="G115" s="213">
        <f>466241</f>
        <v>466241</v>
      </c>
      <c r="H115" s="213">
        <v>136841</v>
      </c>
      <c r="I115" s="213">
        <f>(G115-H115)*1/100</f>
        <v>3294</v>
      </c>
      <c r="J115" s="216">
        <f>(1.048*1.029)</f>
        <v>1.078392</v>
      </c>
      <c r="K115" s="213"/>
      <c r="L115" s="213"/>
      <c r="M115" s="217">
        <v>501838.5</v>
      </c>
      <c r="N115" s="213"/>
      <c r="O115" s="213"/>
      <c r="P115" s="218" t="s">
        <v>75</v>
      </c>
      <c r="Q115" s="219">
        <v>1</v>
      </c>
      <c r="R115" s="219" t="s">
        <v>5</v>
      </c>
      <c r="S115" s="219" t="s">
        <v>5</v>
      </c>
      <c r="T115" s="219" t="s">
        <v>5</v>
      </c>
      <c r="U115" s="219" t="s">
        <v>5</v>
      </c>
      <c r="V115" s="219" t="s">
        <v>5</v>
      </c>
      <c r="W115" s="213">
        <f>M115*Q115</f>
        <v>501838.5</v>
      </c>
      <c r="X115" s="213"/>
      <c r="Y115" s="213"/>
    </row>
    <row r="116" spans="1:25" ht="37.5" customHeight="1">
      <c r="A116" s="3" t="s">
        <v>196</v>
      </c>
      <c r="B116" s="14" t="s">
        <v>275</v>
      </c>
      <c r="C116" s="2"/>
      <c r="D116" s="61"/>
      <c r="E116" s="18"/>
      <c r="F116" s="277"/>
      <c r="G116" s="11">
        <f>702602</f>
        <v>702602</v>
      </c>
      <c r="H116" s="11"/>
      <c r="I116" s="11">
        <f>C116*3/100</f>
        <v>0</v>
      </c>
      <c r="J116" s="141">
        <f>(1.048*1.029)</f>
        <v>1.078392</v>
      </c>
      <c r="K116" s="11"/>
      <c r="L116" s="11"/>
      <c r="M116" s="103">
        <v>756245.66</v>
      </c>
      <c r="N116" s="11"/>
      <c r="O116" s="11"/>
      <c r="P116" s="8" t="s">
        <v>16</v>
      </c>
      <c r="Q116" s="1" t="s">
        <v>5</v>
      </c>
      <c r="R116" s="1" t="s">
        <v>5</v>
      </c>
      <c r="S116" s="1">
        <v>0.2</v>
      </c>
      <c r="T116" s="1" t="s">
        <v>5</v>
      </c>
      <c r="U116" s="1" t="s">
        <v>5</v>
      </c>
      <c r="V116" s="1" t="s">
        <v>5</v>
      </c>
      <c r="W116" s="2">
        <f>M116*S116</f>
        <v>151249.132</v>
      </c>
      <c r="X116" s="2"/>
      <c r="Y116" s="2"/>
    </row>
    <row r="117" spans="1:25" s="105" customFormat="1" ht="42.75" customHeight="1">
      <c r="A117" s="160" t="s">
        <v>217</v>
      </c>
      <c r="B117" s="161" t="s">
        <v>205</v>
      </c>
      <c r="C117" s="162"/>
      <c r="D117" s="163"/>
      <c r="E117" s="215" t="s">
        <v>10</v>
      </c>
      <c r="F117" s="276">
        <v>200</v>
      </c>
      <c r="G117" s="162">
        <v>930404</v>
      </c>
      <c r="H117" s="164"/>
      <c r="I117" s="164"/>
      <c r="J117" s="165">
        <f>(1.048*1.029)</f>
        <v>1.078392</v>
      </c>
      <c r="K117" s="162"/>
      <c r="L117" s="162"/>
      <c r="M117" s="166">
        <v>1001440.35</v>
      </c>
      <c r="N117" s="167"/>
      <c r="O117" s="167"/>
      <c r="P117" s="8" t="s">
        <v>216</v>
      </c>
      <c r="Q117" s="104"/>
      <c r="R117" s="104"/>
      <c r="S117" s="104"/>
      <c r="T117" s="104"/>
      <c r="U117" s="104"/>
      <c r="V117" s="106">
        <v>0.2</v>
      </c>
      <c r="W117" s="107">
        <f>M117*V117</f>
        <v>200288.07</v>
      </c>
      <c r="X117" s="104"/>
      <c r="Y117" s="104"/>
    </row>
    <row r="118" spans="1:25" ht="30.75" customHeight="1">
      <c r="A118" s="73" t="s">
        <v>194</v>
      </c>
      <c r="B118" s="13" t="s">
        <v>266</v>
      </c>
      <c r="C118" s="2"/>
      <c r="D118" s="61"/>
      <c r="E118" s="18" t="s">
        <v>10</v>
      </c>
      <c r="F118" s="271">
        <f>2*630*0.89</f>
        <v>1121.4</v>
      </c>
      <c r="G118" s="2">
        <v>4528762</v>
      </c>
      <c r="H118" s="2">
        <v>1816242</v>
      </c>
      <c r="I118" s="2">
        <f>(G118-H118)*1/100</f>
        <v>27125.2</v>
      </c>
      <c r="J118" s="2"/>
      <c r="K118" s="141">
        <f>(1.048*1.058*1.031)</f>
        <v>1.143156304</v>
      </c>
      <c r="L118" s="102"/>
      <c r="M118" s="11"/>
      <c r="N118" s="103">
        <f>G118*1.048*1.058*1.031</f>
        <v>5177082.829615649</v>
      </c>
      <c r="O118" s="2"/>
      <c r="P118" s="8" t="s">
        <v>80</v>
      </c>
      <c r="Q118" s="1">
        <v>1</v>
      </c>
      <c r="R118" s="1" t="s">
        <v>5</v>
      </c>
      <c r="S118" s="1" t="s">
        <v>5</v>
      </c>
      <c r="T118" s="1" t="s">
        <v>5</v>
      </c>
      <c r="U118" s="1" t="s">
        <v>5</v>
      </c>
      <c r="V118" s="1" t="s">
        <v>5</v>
      </c>
      <c r="W118" s="2"/>
      <c r="X118" s="2">
        <f>N118*Q118</f>
        <v>5177082.829615649</v>
      </c>
      <c r="Y118" s="2"/>
    </row>
    <row r="119" spans="1:25" ht="42" customHeight="1">
      <c r="A119" s="3" t="s">
        <v>197</v>
      </c>
      <c r="B119" s="12" t="s">
        <v>268</v>
      </c>
      <c r="C119" s="2"/>
      <c r="D119" s="61"/>
      <c r="E119" s="18"/>
      <c r="F119" s="271"/>
      <c r="G119" s="2">
        <f>945096</f>
        <v>945096</v>
      </c>
      <c r="H119" s="2"/>
      <c r="I119" s="11">
        <f>C119*3/100</f>
        <v>0</v>
      </c>
      <c r="J119" s="11"/>
      <c r="K119" s="141">
        <f>(1.048*1.058*1.031)</f>
        <v>1.143156304</v>
      </c>
      <c r="L119" s="102"/>
      <c r="M119" s="11"/>
      <c r="N119" s="103">
        <f>G119*1.048*1.058*1.031</f>
        <v>1080392.450285184</v>
      </c>
      <c r="O119" s="11"/>
      <c r="P119" s="8" t="s">
        <v>17</v>
      </c>
      <c r="Q119" s="1" t="s">
        <v>5</v>
      </c>
      <c r="R119" s="1" t="s">
        <v>5</v>
      </c>
      <c r="S119" s="1" t="s">
        <v>5</v>
      </c>
      <c r="T119" s="1">
        <f>1+0.45</f>
        <v>1.45</v>
      </c>
      <c r="U119" s="1" t="s">
        <v>5</v>
      </c>
      <c r="V119" s="1" t="s">
        <v>5</v>
      </c>
      <c r="W119" s="2"/>
      <c r="X119" s="2">
        <f>N119*T119</f>
        <v>1566569.0529135168</v>
      </c>
      <c r="Y119" s="2"/>
    </row>
    <row r="120" spans="1:25" ht="31.5" hidden="1">
      <c r="A120" s="3" t="s">
        <v>198</v>
      </c>
      <c r="B120" s="12" t="s">
        <v>46</v>
      </c>
      <c r="C120" s="2"/>
      <c r="D120" s="61"/>
      <c r="E120" s="18"/>
      <c r="F120" s="271"/>
      <c r="G120" s="2">
        <f>945096</f>
        <v>945096</v>
      </c>
      <c r="H120" s="2"/>
      <c r="I120" s="11">
        <f>C120*3/100</f>
        <v>0</v>
      </c>
      <c r="J120" s="11"/>
      <c r="K120" s="141">
        <f>(1.048*1.058*1.031)</f>
        <v>1.143156304</v>
      </c>
      <c r="L120" s="102"/>
      <c r="M120" s="11"/>
      <c r="N120" s="103">
        <f>G120*1.048*1.058*1.031</f>
        <v>1080392.450285184</v>
      </c>
      <c r="O120" s="11"/>
      <c r="P120" s="8" t="s">
        <v>17</v>
      </c>
      <c r="Q120" s="1" t="s">
        <v>5</v>
      </c>
      <c r="R120" s="1" t="s">
        <v>5</v>
      </c>
      <c r="S120" s="1" t="s">
        <v>5</v>
      </c>
      <c r="T120" s="1"/>
      <c r="U120" s="1" t="s">
        <v>5</v>
      </c>
      <c r="V120" s="1" t="s">
        <v>5</v>
      </c>
      <c r="W120" s="2"/>
      <c r="X120" s="2">
        <f>N120*T120</f>
        <v>0</v>
      </c>
      <c r="Y120" s="2"/>
    </row>
    <row r="121" spans="1:25" s="120" customFormat="1" ht="43.5" customHeight="1">
      <c r="A121" s="3" t="s">
        <v>219</v>
      </c>
      <c r="B121" s="12" t="s">
        <v>206</v>
      </c>
      <c r="C121" s="2"/>
      <c r="D121" s="2"/>
      <c r="E121" s="18" t="s">
        <v>10</v>
      </c>
      <c r="F121" s="271">
        <v>500</v>
      </c>
      <c r="G121" s="2">
        <v>930404</v>
      </c>
      <c r="H121" s="2"/>
      <c r="I121" s="116"/>
      <c r="J121" s="8"/>
      <c r="K121" s="141">
        <f>(1.048*1.058*1.031)</f>
        <v>1.143156304</v>
      </c>
      <c r="L121" s="115"/>
      <c r="M121" s="116"/>
      <c r="N121" s="103">
        <f>G121*1.048*1.058*1.031</f>
        <v>1063597.1978668158</v>
      </c>
      <c r="O121" s="1" t="s">
        <v>5</v>
      </c>
      <c r="P121" s="8" t="s">
        <v>216</v>
      </c>
      <c r="Q121" s="117"/>
      <c r="R121" s="117"/>
      <c r="S121" s="117"/>
      <c r="T121" s="117"/>
      <c r="U121" s="117"/>
      <c r="V121" s="118">
        <v>0.3</v>
      </c>
      <c r="W121" s="117"/>
      <c r="X121" s="119">
        <f>N121*V121</f>
        <v>319079.15936004475</v>
      </c>
      <c r="Y121" s="117"/>
    </row>
    <row r="122" spans="1:25" s="6" customFormat="1" ht="19.5" customHeight="1">
      <c r="A122" s="298" t="s">
        <v>132</v>
      </c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345"/>
      <c r="X122" s="345"/>
      <c r="Y122" s="346"/>
    </row>
    <row r="123" spans="1:25" s="6" customFormat="1" ht="39.75" customHeight="1">
      <c r="A123" s="73" t="s">
        <v>195</v>
      </c>
      <c r="B123" s="15" t="s">
        <v>276</v>
      </c>
      <c r="C123" s="2"/>
      <c r="D123" s="61"/>
      <c r="E123" s="18" t="s">
        <v>10</v>
      </c>
      <c r="F123" s="275">
        <f>2*1000*0.89</f>
        <v>1780</v>
      </c>
      <c r="G123" s="2">
        <v>4881043</v>
      </c>
      <c r="H123" s="2">
        <v>2034191</v>
      </c>
      <c r="I123" s="2">
        <f>(G123-H123)*1/100</f>
        <v>28468.52</v>
      </c>
      <c r="J123" s="141">
        <f>(1.048*1.029)</f>
        <v>1.078392</v>
      </c>
      <c r="K123" s="2"/>
      <c r="L123" s="2"/>
      <c r="M123" s="103">
        <v>5421588.05</v>
      </c>
      <c r="N123" s="2"/>
      <c r="O123" s="2"/>
      <c r="P123" s="8" t="s">
        <v>79</v>
      </c>
      <c r="Q123" s="1">
        <v>1</v>
      </c>
      <c r="R123" s="1" t="s">
        <v>5</v>
      </c>
      <c r="S123" s="1" t="s">
        <v>5</v>
      </c>
      <c r="T123" s="1" t="s">
        <v>5</v>
      </c>
      <c r="U123" s="1" t="s">
        <v>5</v>
      </c>
      <c r="V123" s="1" t="s">
        <v>5</v>
      </c>
      <c r="W123" s="2">
        <f>M123*Q123</f>
        <v>5421588.05</v>
      </c>
      <c r="X123" s="2"/>
      <c r="Y123" s="2"/>
    </row>
    <row r="124" spans="1:25" s="6" customFormat="1" ht="21.75" customHeight="1">
      <c r="A124" s="329" t="s">
        <v>291</v>
      </c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2"/>
      <c r="X124" s="2"/>
      <c r="Y124" s="2"/>
    </row>
    <row r="125" spans="1:25" s="6" customFormat="1" ht="21" customHeight="1">
      <c r="A125" s="256"/>
      <c r="B125" s="255"/>
      <c r="C125" s="255"/>
      <c r="D125" s="255"/>
      <c r="E125" s="255"/>
      <c r="F125" s="269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"/>
      <c r="X125" s="2"/>
      <c r="Y125" s="2"/>
    </row>
    <row r="126" spans="1:25" s="6" customFormat="1" ht="39.75" customHeight="1">
      <c r="A126" s="337" t="s">
        <v>0</v>
      </c>
      <c r="B126" s="324" t="s">
        <v>1</v>
      </c>
      <c r="C126" s="328" t="s">
        <v>215</v>
      </c>
      <c r="D126" s="328" t="s">
        <v>134</v>
      </c>
      <c r="E126" s="324" t="s">
        <v>99</v>
      </c>
      <c r="F126" s="324"/>
      <c r="G126" s="324" t="s">
        <v>228</v>
      </c>
      <c r="H126" s="324" t="s">
        <v>136</v>
      </c>
      <c r="I126" s="324" t="s">
        <v>135</v>
      </c>
      <c r="J126" s="325" t="s">
        <v>208</v>
      </c>
      <c r="K126" s="325" t="s">
        <v>209</v>
      </c>
      <c r="L126" s="325" t="s">
        <v>210</v>
      </c>
      <c r="M126" s="324" t="s">
        <v>211</v>
      </c>
      <c r="N126" s="324" t="s">
        <v>212</v>
      </c>
      <c r="O126" s="324" t="s">
        <v>213</v>
      </c>
      <c r="P126" s="324" t="s">
        <v>13</v>
      </c>
      <c r="Q126" s="324" t="s">
        <v>12</v>
      </c>
      <c r="R126" s="324"/>
      <c r="S126" s="324"/>
      <c r="T126" s="324"/>
      <c r="U126" s="324"/>
      <c r="V126" s="324"/>
      <c r="W126" s="2"/>
      <c r="X126" s="2"/>
      <c r="Y126" s="2"/>
    </row>
    <row r="127" spans="1:25" s="6" customFormat="1" ht="39.75" customHeight="1">
      <c r="A127" s="308"/>
      <c r="B127" s="290"/>
      <c r="C127" s="328"/>
      <c r="D127" s="328"/>
      <c r="E127" s="290"/>
      <c r="F127" s="290"/>
      <c r="G127" s="290"/>
      <c r="H127" s="290"/>
      <c r="I127" s="290"/>
      <c r="J127" s="326"/>
      <c r="K127" s="326"/>
      <c r="L127" s="326"/>
      <c r="M127" s="290"/>
      <c r="N127" s="290"/>
      <c r="O127" s="290"/>
      <c r="P127" s="290"/>
      <c r="Q127" s="290" t="s">
        <v>8</v>
      </c>
      <c r="R127" s="290" t="s">
        <v>11</v>
      </c>
      <c r="S127" s="290" t="s">
        <v>7</v>
      </c>
      <c r="T127" s="290" t="s">
        <v>2</v>
      </c>
      <c r="U127" s="290" t="s">
        <v>3</v>
      </c>
      <c r="V127" s="290" t="s">
        <v>4</v>
      </c>
      <c r="W127" s="2"/>
      <c r="X127" s="2"/>
      <c r="Y127" s="2"/>
    </row>
    <row r="128" spans="1:25" s="6" customFormat="1" ht="39.75" customHeight="1">
      <c r="A128" s="308"/>
      <c r="B128" s="290"/>
      <c r="C128" s="324"/>
      <c r="D128" s="324"/>
      <c r="E128" s="290"/>
      <c r="F128" s="290"/>
      <c r="G128" s="290"/>
      <c r="H128" s="290"/>
      <c r="I128" s="290"/>
      <c r="J128" s="326"/>
      <c r="K128" s="326"/>
      <c r="L128" s="326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"/>
      <c r="X128" s="2"/>
      <c r="Y128" s="2"/>
    </row>
    <row r="129" spans="1:25" s="6" customFormat="1" ht="31.5">
      <c r="A129" s="3" t="s">
        <v>199</v>
      </c>
      <c r="B129" s="12" t="s">
        <v>277</v>
      </c>
      <c r="C129" s="2"/>
      <c r="D129" s="61"/>
      <c r="E129" s="18"/>
      <c r="F129" s="277"/>
      <c r="G129" s="2">
        <f>945096</f>
        <v>945096</v>
      </c>
      <c r="H129" s="2"/>
      <c r="I129" s="116">
        <f>C129*3/100</f>
        <v>0</v>
      </c>
      <c r="J129" s="141">
        <f>(1.048*1.029)</f>
        <v>1.078392</v>
      </c>
      <c r="K129" s="116"/>
      <c r="L129" s="116"/>
      <c r="M129" s="103">
        <v>1017254.08</v>
      </c>
      <c r="N129" s="116"/>
      <c r="O129" s="116"/>
      <c r="P129" s="8" t="s">
        <v>17</v>
      </c>
      <c r="Q129" s="1" t="s">
        <v>5</v>
      </c>
      <c r="R129" s="1" t="s">
        <v>5</v>
      </c>
      <c r="S129" s="1" t="s">
        <v>5</v>
      </c>
      <c r="T129" s="1">
        <f>0.71+2.5</f>
        <v>3.21</v>
      </c>
      <c r="U129" s="1" t="s">
        <v>5</v>
      </c>
      <c r="V129" s="1" t="s">
        <v>5</v>
      </c>
      <c r="W129" s="2">
        <f>M129*T129</f>
        <v>3265385.5968</v>
      </c>
      <c r="X129" s="2"/>
      <c r="Y129" s="2"/>
    </row>
    <row r="130" spans="1:25" s="6" customFormat="1" ht="31.5" hidden="1">
      <c r="A130" s="3" t="s">
        <v>200</v>
      </c>
      <c r="B130" s="12" t="s">
        <v>44</v>
      </c>
      <c r="C130" s="2"/>
      <c r="D130" s="61"/>
      <c r="E130" s="18"/>
      <c r="F130" s="271"/>
      <c r="G130" s="2">
        <f>945096</f>
        <v>945096</v>
      </c>
      <c r="H130" s="2"/>
      <c r="I130" s="116">
        <f>C130*3/100</f>
        <v>0</v>
      </c>
      <c r="J130" s="141">
        <f>(1.048*1.029)</f>
        <v>1.078392</v>
      </c>
      <c r="K130" s="116"/>
      <c r="L130" s="116"/>
      <c r="M130" s="103">
        <f>G130*1.048*1.029</f>
        <v>1019183.9656319999</v>
      </c>
      <c r="N130" s="116"/>
      <c r="O130" s="116"/>
      <c r="P130" s="8" t="s">
        <v>17</v>
      </c>
      <c r="Q130" s="1" t="s">
        <v>5</v>
      </c>
      <c r="R130" s="1" t="s">
        <v>5</v>
      </c>
      <c r="S130" s="1" t="s">
        <v>5</v>
      </c>
      <c r="T130" s="1"/>
      <c r="U130" s="1" t="s">
        <v>5</v>
      </c>
      <c r="V130" s="1" t="s">
        <v>5</v>
      </c>
      <c r="W130" s="2">
        <f>M130*T130</f>
        <v>0</v>
      </c>
      <c r="X130" s="2"/>
      <c r="Y130" s="2"/>
    </row>
    <row r="131" spans="1:27" s="6" customFormat="1" ht="31.5">
      <c r="A131" s="3" t="s">
        <v>218</v>
      </c>
      <c r="B131" s="12" t="s">
        <v>207</v>
      </c>
      <c r="C131" s="2"/>
      <c r="D131" s="61"/>
      <c r="E131" s="18" t="s">
        <v>10</v>
      </c>
      <c r="F131" s="275">
        <v>800</v>
      </c>
      <c r="G131" s="2">
        <v>930404</v>
      </c>
      <c r="H131" s="2"/>
      <c r="I131" s="116"/>
      <c r="J131" s="141">
        <f>(1.048*1.029)</f>
        <v>1.078392</v>
      </c>
      <c r="K131" s="2"/>
      <c r="L131" s="2"/>
      <c r="M131" s="103">
        <v>1001440.35</v>
      </c>
      <c r="N131" s="116"/>
      <c r="O131" s="116"/>
      <c r="P131" s="8" t="s">
        <v>216</v>
      </c>
      <c r="Q131" s="1"/>
      <c r="R131" s="1"/>
      <c r="S131" s="1"/>
      <c r="T131" s="1"/>
      <c r="U131" s="1"/>
      <c r="V131" s="1">
        <v>0.4</v>
      </c>
      <c r="W131" s="2">
        <f>M131*V131</f>
        <v>400576.14</v>
      </c>
      <c r="X131" s="2"/>
      <c r="Y131" s="2"/>
      <c r="AA131" s="121"/>
    </row>
    <row r="132" spans="1:25" s="132" customFormat="1" ht="15.75">
      <c r="A132" s="122" t="s">
        <v>201</v>
      </c>
      <c r="B132" s="13" t="s">
        <v>133</v>
      </c>
      <c r="C132" s="123"/>
      <c r="D132" s="124"/>
      <c r="E132" s="125"/>
      <c r="F132" s="278"/>
      <c r="G132" s="127">
        <v>857749</v>
      </c>
      <c r="H132" s="128"/>
      <c r="I132" s="116"/>
      <c r="J132" s="141">
        <f>(1.048*1.029)</f>
        <v>1.078392</v>
      </c>
      <c r="K132" s="141">
        <f>(1.048*1.058*1.031)</f>
        <v>1.143156304</v>
      </c>
      <c r="L132" s="141">
        <f>(1.048*1.058*1.062*1.019)</f>
        <v>1.199901651552</v>
      </c>
      <c r="M132" s="103"/>
      <c r="N132" s="103">
        <v>2625889</v>
      </c>
      <c r="O132" s="103">
        <v>837781</v>
      </c>
      <c r="P132" s="129"/>
      <c r="Q132" s="129"/>
      <c r="R132" s="129"/>
      <c r="S132" s="129"/>
      <c r="T132" s="130">
        <f>SUM(T75:T130)</f>
        <v>6.695</v>
      </c>
      <c r="U132" s="131"/>
      <c r="V132" s="130">
        <f>SUM(V75:V131)</f>
        <v>2.035</v>
      </c>
      <c r="W132" s="2">
        <f>M132*V132*400/1000</f>
        <v>0</v>
      </c>
      <c r="X132" s="2">
        <f>N132*T132*400/1000</f>
        <v>7032130.742</v>
      </c>
      <c r="Y132" s="2">
        <f>O132*V132*400/1000</f>
        <v>681953.7340000002</v>
      </c>
    </row>
    <row r="133" spans="1:27" s="6" customFormat="1" ht="15.75">
      <c r="A133" s="133"/>
      <c r="B133" s="12" t="s">
        <v>203</v>
      </c>
      <c r="C133" s="134">
        <f>SUM(C75:C132)</f>
        <v>0</v>
      </c>
      <c r="D133" s="135"/>
      <c r="E133" s="136"/>
      <c r="F133" s="279"/>
      <c r="G133" s="131"/>
      <c r="H133" s="131"/>
      <c r="I133" s="134">
        <f>SUM(I75:I132)</f>
        <v>72677.91</v>
      </c>
      <c r="J133" s="134"/>
      <c r="K133" s="134"/>
      <c r="L133" s="134"/>
      <c r="M133" s="134"/>
      <c r="N133" s="134"/>
      <c r="O133" s="134"/>
      <c r="P133" s="131"/>
      <c r="Q133" s="134"/>
      <c r="R133" s="134"/>
      <c r="S133" s="241"/>
      <c r="T133" s="137"/>
      <c r="U133" s="137"/>
      <c r="V133" s="137"/>
      <c r="W133" s="134">
        <f>SUM(W75:W132)</f>
        <v>13870885.4518</v>
      </c>
      <c r="X133" s="134">
        <f>SUM(X75:X132)</f>
        <v>16842361.643438358</v>
      </c>
      <c r="Y133" s="134">
        <f>SUM(Y75:Y132)</f>
        <v>2593226.1425317777</v>
      </c>
      <c r="AA133" s="121"/>
    </row>
    <row r="134" spans="1:27" s="6" customFormat="1" ht="31.5">
      <c r="A134" s="133"/>
      <c r="B134" s="12" t="s">
        <v>293</v>
      </c>
      <c r="C134" s="263"/>
      <c r="D134" s="135"/>
      <c r="E134" s="136"/>
      <c r="F134" s="279"/>
      <c r="G134" s="131"/>
      <c r="H134" s="131"/>
      <c r="I134" s="134"/>
      <c r="J134" s="134"/>
      <c r="K134" s="134"/>
      <c r="L134" s="134"/>
      <c r="M134" s="127">
        <v>232391.54</v>
      </c>
      <c r="N134" s="134"/>
      <c r="O134" s="134"/>
      <c r="P134" s="131"/>
      <c r="Q134" s="134"/>
      <c r="R134" s="134"/>
      <c r="S134" s="241"/>
      <c r="T134" s="137"/>
      <c r="U134" s="137"/>
      <c r="V134" s="137"/>
      <c r="W134" s="134"/>
      <c r="X134" s="134"/>
      <c r="Y134" s="134"/>
      <c r="AA134" s="121"/>
    </row>
    <row r="135" spans="1:27" s="6" customFormat="1" ht="15.75">
      <c r="A135" s="133"/>
      <c r="B135" s="12" t="s">
        <v>294</v>
      </c>
      <c r="C135" s="263"/>
      <c r="D135" s="135"/>
      <c r="E135" s="136"/>
      <c r="F135" s="279"/>
      <c r="G135" s="131"/>
      <c r="H135" s="131"/>
      <c r="I135" s="134"/>
      <c r="J135" s="134"/>
      <c r="K135" s="134"/>
      <c r="L135" s="134"/>
      <c r="M135" s="127">
        <v>98218</v>
      </c>
      <c r="N135" s="134"/>
      <c r="O135" s="134"/>
      <c r="P135" s="131"/>
      <c r="Q135" s="134"/>
      <c r="R135" s="134"/>
      <c r="S135" s="241"/>
      <c r="T135" s="137"/>
      <c r="U135" s="137"/>
      <c r="V135" s="137"/>
      <c r="W135" s="134"/>
      <c r="X135" s="134"/>
      <c r="Y135" s="134"/>
      <c r="AA135" s="121"/>
    </row>
    <row r="136" spans="1:26" s="6" customFormat="1" ht="15.75">
      <c r="A136" s="133" t="s">
        <v>202</v>
      </c>
      <c r="B136" s="12" t="s">
        <v>6</v>
      </c>
      <c r="D136" s="136"/>
      <c r="E136" s="136"/>
      <c r="F136" s="279"/>
      <c r="G136" s="127">
        <f>'титул ПРОЕКТНЫЕ'!C100</f>
        <v>437597.69979090436</v>
      </c>
      <c r="H136" s="131"/>
      <c r="I136" s="131"/>
      <c r="J136" s="131"/>
      <c r="K136" s="131"/>
      <c r="L136" s="131"/>
      <c r="M136" s="249"/>
      <c r="N136" s="157">
        <v>99083</v>
      </c>
      <c r="O136" s="157">
        <v>48237</v>
      </c>
      <c r="P136" s="131"/>
      <c r="Q136" s="140">
        <f aca="true" t="shared" si="11" ref="Q136:S137">SUM(Q74:Q129)</f>
        <v>9</v>
      </c>
      <c r="R136" s="140">
        <f t="shared" si="11"/>
        <v>0</v>
      </c>
      <c r="S136" s="154">
        <f t="shared" si="11"/>
        <v>1.3</v>
      </c>
      <c r="T136" s="131"/>
      <c r="U136" s="131"/>
      <c r="V136" s="131"/>
      <c r="W136" s="127">
        <f>'титул ПРОЕКТНЫЕ'!J99</f>
        <v>290278.1502754766</v>
      </c>
      <c r="X136" s="127">
        <f>'титул ПРОЕКТНЫЕ'!K99</f>
        <v>99082.61830757503</v>
      </c>
      <c r="Y136" s="127">
        <f>'титул ПРОЕКТНЫЕ'!L99</f>
        <v>48236.931207852605</v>
      </c>
      <c r="Z136" s="121"/>
    </row>
    <row r="137" spans="1:25" s="6" customFormat="1" ht="15.75">
      <c r="A137" s="138"/>
      <c r="B137" s="13" t="s">
        <v>131</v>
      </c>
      <c r="C137" s="134"/>
      <c r="D137" s="125"/>
      <c r="E137" s="139" t="s">
        <v>10</v>
      </c>
      <c r="F137" s="287">
        <f>SUM(F75:F136)</f>
        <v>6256.77</v>
      </c>
      <c r="G137" s="248">
        <f>SUM(G75:G136)</f>
        <v>38711154.6997909</v>
      </c>
      <c r="H137" s="248"/>
      <c r="I137" s="129"/>
      <c r="J137" s="129"/>
      <c r="K137" s="129"/>
      <c r="L137" s="129"/>
      <c r="M137" s="248"/>
      <c r="N137" s="248"/>
      <c r="O137" s="248"/>
      <c r="P137" s="129"/>
      <c r="Q137" s="140">
        <f t="shared" si="11"/>
        <v>9</v>
      </c>
      <c r="R137" s="140">
        <f t="shared" si="11"/>
        <v>0</v>
      </c>
      <c r="S137" s="154">
        <f t="shared" si="11"/>
        <v>1.3</v>
      </c>
      <c r="T137" s="140">
        <f>SUM(T75:T130)</f>
        <v>6.695</v>
      </c>
      <c r="U137" s="140">
        <f>SUM(U75:U130)</f>
        <v>1.629</v>
      </c>
      <c r="V137" s="140">
        <f>SUM(V75:V131)+V71</f>
        <v>2.035</v>
      </c>
      <c r="W137" s="134">
        <f>W133+W136</f>
        <v>14161163.602075476</v>
      </c>
      <c r="X137" s="134">
        <f>X133+X136</f>
        <v>16941444.261745933</v>
      </c>
      <c r="Y137" s="134">
        <f>Y133+Y136</f>
        <v>2641463.07373963</v>
      </c>
    </row>
    <row r="138" spans="1:26" ht="15.75">
      <c r="A138" s="158"/>
      <c r="B138" s="159"/>
      <c r="C138" s="159"/>
      <c r="D138" s="159"/>
      <c r="E138" s="159"/>
      <c r="F138" s="288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57"/>
    </row>
    <row r="139" spans="1:26" s="105" customFormat="1" ht="18.75">
      <c r="A139" s="108"/>
      <c r="B139" s="88"/>
      <c r="C139" s="113"/>
      <c r="D139" s="113"/>
      <c r="E139" s="113"/>
      <c r="F139" s="280"/>
      <c r="G139" s="222"/>
      <c r="H139" s="109"/>
      <c r="I139" s="110"/>
      <c r="J139" s="111"/>
      <c r="K139" s="109"/>
      <c r="L139" s="109"/>
      <c r="M139" s="109"/>
      <c r="N139" s="109"/>
      <c r="O139" s="109"/>
      <c r="P139" s="109"/>
      <c r="Q139" s="112"/>
      <c r="R139" s="27"/>
      <c r="S139" s="112"/>
      <c r="T139" s="112"/>
      <c r="U139" s="112"/>
      <c r="V139" s="112"/>
      <c r="W139" s="92"/>
      <c r="X139" s="92"/>
      <c r="Y139" s="92"/>
      <c r="Z139" s="113"/>
    </row>
    <row r="140" spans="1:26" s="105" customFormat="1" ht="18.75">
      <c r="A140" s="148"/>
      <c r="B140" s="13" t="s">
        <v>290</v>
      </c>
      <c r="C140" s="220"/>
      <c r="D140" s="220"/>
      <c r="E140" s="253" t="str">
        <f>E67</f>
        <v>560,7/</v>
      </c>
      <c r="F140" s="281">
        <f>F71+F137</f>
        <v>16109.07</v>
      </c>
      <c r="G140" s="221" t="e">
        <f>G71+#REF!</f>
        <v>#REF!</v>
      </c>
      <c r="H140" s="180"/>
      <c r="I140" s="181"/>
      <c r="J140" s="182"/>
      <c r="K140" s="180"/>
      <c r="L140" s="180"/>
      <c r="M140" s="242"/>
      <c r="N140" s="242"/>
      <c r="O140" s="242"/>
      <c r="P140" s="183"/>
      <c r="Q140" s="243">
        <f aca="true" t="shared" si="12" ref="Q140:V140">Q71+Q137</f>
        <v>26</v>
      </c>
      <c r="R140" s="244">
        <f t="shared" si="12"/>
        <v>0</v>
      </c>
      <c r="S140" s="245">
        <f t="shared" si="12"/>
        <v>17.55</v>
      </c>
      <c r="T140" s="245">
        <f t="shared" si="12"/>
        <v>7.695</v>
      </c>
      <c r="U140" s="245">
        <f t="shared" si="12"/>
        <v>18.329</v>
      </c>
      <c r="V140" s="245">
        <f t="shared" si="12"/>
        <v>2.035</v>
      </c>
      <c r="W140" s="38" t="e">
        <f>W71+#REF!</f>
        <v>#REF!</v>
      </c>
      <c r="X140" s="38" t="e">
        <f>X71+#REF!</f>
        <v>#REF!</v>
      </c>
      <c r="Y140" s="38" t="e">
        <f>Y71+#REF!</f>
        <v>#REF!</v>
      </c>
      <c r="Z140" s="254"/>
    </row>
    <row r="141" spans="1:26" s="105" customFormat="1" ht="15.75">
      <c r="A141" s="108"/>
      <c r="B141" s="88"/>
      <c r="C141" s="92"/>
      <c r="D141" s="109"/>
      <c r="E141" s="110"/>
      <c r="F141" s="282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2"/>
      <c r="R141" s="27"/>
      <c r="S141" s="112"/>
      <c r="T141" s="112"/>
      <c r="U141" s="112"/>
      <c r="V141" s="112"/>
      <c r="W141" s="92"/>
      <c r="X141" s="92"/>
      <c r="Y141" s="92"/>
      <c r="Z141" s="113"/>
    </row>
    <row r="142" spans="3:27" ht="18.75">
      <c r="C142" s="147"/>
      <c r="F142" s="283"/>
      <c r="G142" s="69"/>
      <c r="H142" s="70"/>
      <c r="K142" s="223"/>
      <c r="O142" s="224"/>
      <c r="P142" s="226"/>
      <c r="Q142" s="225"/>
      <c r="R142" s="225"/>
      <c r="S142" s="225"/>
      <c r="T142" s="225"/>
      <c r="U142" s="225"/>
      <c r="V142" s="225"/>
      <c r="W142" s="226"/>
      <c r="X142" s="226"/>
      <c r="Y142" s="225"/>
      <c r="AA142" s="76"/>
    </row>
    <row r="143" spans="3:25" ht="18.75">
      <c r="C143" s="78"/>
      <c r="K143" s="223"/>
      <c r="M143" s="76"/>
      <c r="N143" s="76"/>
      <c r="O143" s="224"/>
      <c r="P143" s="226"/>
      <c r="Q143" s="225"/>
      <c r="R143" s="225"/>
      <c r="S143" s="225"/>
      <c r="T143" s="225"/>
      <c r="U143" s="225"/>
      <c r="V143" s="224"/>
      <c r="W143" s="226"/>
      <c r="X143" s="226"/>
      <c r="Y143" s="225"/>
    </row>
    <row r="144" spans="11:25" ht="18.75">
      <c r="K144" s="223"/>
      <c r="O144" s="227"/>
      <c r="P144" s="225"/>
      <c r="Q144" s="225"/>
      <c r="R144" s="225"/>
      <c r="S144" s="225"/>
      <c r="T144" s="225"/>
      <c r="U144" s="225"/>
      <c r="V144" s="229"/>
      <c r="W144" s="225"/>
      <c r="X144" s="225"/>
      <c r="Y144" s="225"/>
    </row>
    <row r="145" spans="11:25" ht="18.75">
      <c r="K145" s="223"/>
      <c r="O145" s="227"/>
      <c r="P145" s="228"/>
      <c r="Q145" s="225"/>
      <c r="R145" s="225"/>
      <c r="S145" s="225"/>
      <c r="T145" s="225"/>
      <c r="U145" s="225"/>
      <c r="V145" s="229"/>
      <c r="W145" s="228"/>
      <c r="X145" s="228"/>
      <c r="Y145" s="227"/>
    </row>
    <row r="146" spans="14:25" ht="18.75">
      <c r="N146" s="225"/>
      <c r="O146" s="225"/>
      <c r="P146" s="225"/>
      <c r="Q146" s="225"/>
      <c r="R146" s="225"/>
      <c r="S146" s="225"/>
      <c r="T146" s="225"/>
      <c r="U146" s="225"/>
      <c r="V146" s="60"/>
      <c r="W146" s="80"/>
      <c r="X146" s="80"/>
      <c r="Y146" s="79"/>
    </row>
    <row r="147" spans="1:25" s="113" customFormat="1" ht="15.75">
      <c r="A147" s="108"/>
      <c r="B147" s="88"/>
      <c r="F147" s="280"/>
      <c r="G147" s="92"/>
      <c r="H147" s="109"/>
      <c r="I147" s="110"/>
      <c r="J147" s="111"/>
      <c r="K147" s="109"/>
      <c r="L147" s="109"/>
      <c r="M147" s="109"/>
      <c r="N147" s="109"/>
      <c r="O147" s="109"/>
      <c r="P147" s="109"/>
      <c r="Q147" s="112"/>
      <c r="R147" s="27"/>
      <c r="S147" s="112"/>
      <c r="T147" s="112"/>
      <c r="U147" s="112"/>
      <c r="V147" s="112"/>
      <c r="W147" s="92"/>
      <c r="X147" s="92"/>
      <c r="Y147" s="92"/>
    </row>
    <row r="148" spans="1:25" s="109" customFormat="1" ht="15.75">
      <c r="A148" s="87"/>
      <c r="B148" s="88"/>
      <c r="E148" s="90"/>
      <c r="F148" s="285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6"/>
      <c r="R148" s="26"/>
      <c r="S148" s="26"/>
      <c r="T148" s="26"/>
      <c r="U148" s="26"/>
      <c r="V148" s="26"/>
      <c r="W148" s="92"/>
      <c r="X148" s="250"/>
      <c r="Y148" s="92"/>
    </row>
    <row r="149" spans="1:7" s="57" customFormat="1" ht="15.75">
      <c r="A149" s="56"/>
      <c r="F149" s="286"/>
      <c r="G149" s="58"/>
    </row>
    <row r="150" spans="1:27" ht="15.75">
      <c r="A150" s="56"/>
      <c r="B150" s="57"/>
      <c r="C150" s="57"/>
      <c r="D150" s="57"/>
      <c r="E150" s="57"/>
      <c r="F150" s="28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232"/>
      <c r="X150" s="233"/>
      <c r="Y150" s="57"/>
      <c r="Z150" s="57"/>
      <c r="AA150" s="57"/>
    </row>
    <row r="151" spans="1:27" ht="15.75">
      <c r="A151" s="56"/>
      <c r="B151" s="57"/>
      <c r="C151" s="57"/>
      <c r="D151" s="57"/>
      <c r="E151" s="57"/>
      <c r="F151" s="286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234"/>
      <c r="X151" s="233"/>
      <c r="Y151" s="58"/>
      <c r="Z151" s="57"/>
      <c r="AA151" s="57"/>
    </row>
    <row r="152" spans="1:27" ht="15.75">
      <c r="A152" s="56"/>
      <c r="B152" s="57"/>
      <c r="C152" s="57"/>
      <c r="D152" s="57"/>
      <c r="E152" s="57"/>
      <c r="F152" s="28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233"/>
      <c r="X152" s="233"/>
      <c r="Y152" s="57"/>
      <c r="Z152" s="57"/>
      <c r="AA152" s="57"/>
    </row>
    <row r="153" spans="23:24" ht="15.75">
      <c r="W153" s="235"/>
      <c r="X153" s="236"/>
    </row>
    <row r="175" spans="1:25" ht="15.75">
      <c r="A175" s="56"/>
      <c r="B175" s="57"/>
      <c r="C175" s="57"/>
      <c r="D175" s="57"/>
      <c r="E175" s="57"/>
      <c r="F175" s="286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</row>
    <row r="176" spans="1:25" ht="15.75">
      <c r="A176" s="56"/>
      <c r="B176" s="57"/>
      <c r="C176" s="57"/>
      <c r="D176" s="57"/>
      <c r="E176" s="57"/>
      <c r="F176" s="286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</row>
    <row r="177" spans="1:25" ht="15.75">
      <c r="A177" s="56"/>
      <c r="B177" s="57"/>
      <c r="C177" s="58"/>
      <c r="D177" s="58"/>
      <c r="E177" s="58"/>
      <c r="F177" s="286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8"/>
      <c r="X177" s="58"/>
      <c r="Y177" s="58"/>
    </row>
    <row r="178" spans="1:25" ht="15.75">
      <c r="A178" s="56"/>
      <c r="B178" s="57"/>
      <c r="C178" s="57"/>
      <c r="D178" s="57"/>
      <c r="E178" s="57"/>
      <c r="F178" s="286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5" ht="15.75">
      <c r="A179" s="56"/>
      <c r="B179" s="57"/>
      <c r="C179" s="57"/>
      <c r="D179" s="57"/>
      <c r="E179" s="57"/>
      <c r="F179" s="28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</sheetData>
  <mergeCells count="179">
    <mergeCell ref="A1:Y1"/>
    <mergeCell ref="A2:Y2"/>
    <mergeCell ref="A74:Y74"/>
    <mergeCell ref="A72:Y72"/>
    <mergeCell ref="A33:Y33"/>
    <mergeCell ref="A28:Y28"/>
    <mergeCell ref="U5:U6"/>
    <mergeCell ref="A8:Y8"/>
    <mergeCell ref="W4:Y5"/>
    <mergeCell ref="I4:I6"/>
    <mergeCell ref="A7:Y7"/>
    <mergeCell ref="J4:J6"/>
    <mergeCell ref="D4:D6"/>
    <mergeCell ref="L4:L6"/>
    <mergeCell ref="N4:N6"/>
    <mergeCell ref="T5:T6"/>
    <mergeCell ref="Q5:Q6"/>
    <mergeCell ref="S5:S6"/>
    <mergeCell ref="O4:O6"/>
    <mergeCell ref="A4:A6"/>
    <mergeCell ref="A3:Y3"/>
    <mergeCell ref="A122:Y122"/>
    <mergeCell ref="A114:V114"/>
    <mergeCell ref="G4:G6"/>
    <mergeCell ref="V5:V6"/>
    <mergeCell ref="E4:F6"/>
    <mergeCell ref="H4:H6"/>
    <mergeCell ref="M4:M6"/>
    <mergeCell ref="P4:P6"/>
    <mergeCell ref="Q4:V4"/>
    <mergeCell ref="B4:B6"/>
    <mergeCell ref="C4:C6"/>
    <mergeCell ref="R5:R6"/>
    <mergeCell ref="K4:K6"/>
    <mergeCell ref="A21:V21"/>
    <mergeCell ref="A90:Y90"/>
    <mergeCell ref="A52:Y52"/>
    <mergeCell ref="A45:Y45"/>
    <mergeCell ref="A66:V66"/>
    <mergeCell ref="A82:V82"/>
    <mergeCell ref="A56:Y56"/>
    <mergeCell ref="A84:A86"/>
    <mergeCell ref="A40:V40"/>
    <mergeCell ref="K23:K25"/>
    <mergeCell ref="A103:V103"/>
    <mergeCell ref="A124:V124"/>
    <mergeCell ref="A126:A128"/>
    <mergeCell ref="B126:B128"/>
    <mergeCell ref="C126:C128"/>
    <mergeCell ref="D126:D128"/>
    <mergeCell ref="E126:F128"/>
    <mergeCell ref="G126:G128"/>
    <mergeCell ref="H126:H128"/>
    <mergeCell ref="I126:I128"/>
    <mergeCell ref="O105:O107"/>
    <mergeCell ref="P105:P107"/>
    <mergeCell ref="Q105:V105"/>
    <mergeCell ref="Q106:Q107"/>
    <mergeCell ref="R106:R107"/>
    <mergeCell ref="S106:S107"/>
    <mergeCell ref="T106:T107"/>
    <mergeCell ref="U106:U107"/>
    <mergeCell ref="V106:V107"/>
    <mergeCell ref="K105:K107"/>
    <mergeCell ref="L105:L107"/>
    <mergeCell ref="M105:M107"/>
    <mergeCell ref="N105:N107"/>
    <mergeCell ref="A105:A107"/>
    <mergeCell ref="B105:B107"/>
    <mergeCell ref="C105:C107"/>
    <mergeCell ref="D105:D107"/>
    <mergeCell ref="E105:F107"/>
    <mergeCell ref="G105:G107"/>
    <mergeCell ref="H105:H107"/>
    <mergeCell ref="I105:I107"/>
    <mergeCell ref="J105:J107"/>
    <mergeCell ref="A23:A25"/>
    <mergeCell ref="B23:B25"/>
    <mergeCell ref="C23:C25"/>
    <mergeCell ref="D23:D25"/>
    <mergeCell ref="E23:F25"/>
    <mergeCell ref="G23:G25"/>
    <mergeCell ref="H23:H25"/>
    <mergeCell ref="I23:I25"/>
    <mergeCell ref="J23:J25"/>
    <mergeCell ref="L23:L25"/>
    <mergeCell ref="M23:M25"/>
    <mergeCell ref="N23:N25"/>
    <mergeCell ref="O23:O25"/>
    <mergeCell ref="P23:P25"/>
    <mergeCell ref="Q23:V23"/>
    <mergeCell ref="W23:Y24"/>
    <mergeCell ref="Q24:Q25"/>
    <mergeCell ref="R24:R25"/>
    <mergeCell ref="S24:S25"/>
    <mergeCell ref="T24:T25"/>
    <mergeCell ref="U24:U25"/>
    <mergeCell ref="V24:V25"/>
    <mergeCell ref="A42:A44"/>
    <mergeCell ref="B42:B44"/>
    <mergeCell ref="C42:C44"/>
    <mergeCell ref="D42:D44"/>
    <mergeCell ref="E42:F44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V42"/>
    <mergeCell ref="W42:Y43"/>
    <mergeCell ref="Q43:Q44"/>
    <mergeCell ref="R43:R44"/>
    <mergeCell ref="S43:S44"/>
    <mergeCell ref="T43:T44"/>
    <mergeCell ref="U43:U44"/>
    <mergeCell ref="V43:V44"/>
    <mergeCell ref="A60:V60"/>
    <mergeCell ref="A62:A64"/>
    <mergeCell ref="B62:B64"/>
    <mergeCell ref="C62:C64"/>
    <mergeCell ref="D62:D64"/>
    <mergeCell ref="E62:F64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V62"/>
    <mergeCell ref="Q63:Q64"/>
    <mergeCell ref="R63:R64"/>
    <mergeCell ref="S63:S64"/>
    <mergeCell ref="T63:T64"/>
    <mergeCell ref="U63:U64"/>
    <mergeCell ref="V63:V64"/>
    <mergeCell ref="B84:B86"/>
    <mergeCell ref="C84:C86"/>
    <mergeCell ref="D84:D86"/>
    <mergeCell ref="E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P84:P86"/>
    <mergeCell ref="Q84:V84"/>
    <mergeCell ref="Q85:Q86"/>
    <mergeCell ref="R85:R86"/>
    <mergeCell ref="S85:S86"/>
    <mergeCell ref="T85:T86"/>
    <mergeCell ref="U85:U86"/>
    <mergeCell ref="V85:V86"/>
    <mergeCell ref="J126:J128"/>
    <mergeCell ref="K126:K128"/>
    <mergeCell ref="L126:L128"/>
    <mergeCell ref="M126:M128"/>
    <mergeCell ref="N126:N128"/>
    <mergeCell ref="O126:O128"/>
    <mergeCell ref="P126:P128"/>
    <mergeCell ref="Q126:V126"/>
    <mergeCell ref="Q127:Q128"/>
    <mergeCell ref="R127:R128"/>
    <mergeCell ref="S127:S128"/>
    <mergeCell ref="T127:T128"/>
    <mergeCell ref="U127:U128"/>
    <mergeCell ref="V127:V128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</cp:lastModifiedBy>
  <cp:lastPrinted>2016-05-12T01:15:44Z</cp:lastPrinted>
  <dcterms:created xsi:type="dcterms:W3CDTF">2013-02-20T05:52:57Z</dcterms:created>
  <dcterms:modified xsi:type="dcterms:W3CDTF">2017-05-19T00:06:57Z</dcterms:modified>
  <cp:category/>
  <cp:version/>
  <cp:contentType/>
  <cp:contentStatus/>
</cp:coreProperties>
</file>